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4"/>
  <workbookPr/>
  <mc:AlternateContent xmlns:mc="http://schemas.openxmlformats.org/markup-compatibility/2006">
    <mc:Choice Requires="x15">
      <x15ac:absPath xmlns:x15ac="http://schemas.microsoft.com/office/spreadsheetml/2010/11/ac" url="R:\ResourcePlanning\2023 IRP\04. IRP Book\Gas Utility IRP\IRP Gas Files\CPA Files\Cleaned\"/>
    </mc:Choice>
  </mc:AlternateContent>
  <xr:revisionPtr revIDLastSave="0" documentId="11_438E4A1DE43BD5978663991663B3DD3F0FBD384B" xr6:coauthVersionLast="47" xr6:coauthVersionMax="47" xr10:uidLastSave="{00000000-0000-0000-0000-000000000000}"/>
  <bookViews>
    <workbookView xWindow="0" yWindow="0" windowWidth="16425" windowHeight="3720" xr2:uid="{00000000-000D-0000-FFFF-FFFF00000000}"/>
  </bookViews>
  <sheets>
    <sheet name="DE Savings " sheetId="1" r:id="rId1"/>
    <sheet name="Substations" sheetId="3" r:id="rId2"/>
    <sheet name="Evaluation" sheetId="4" r:id="rId3"/>
    <sheet name="Background Data" sheetId="5" r:id="rId4"/>
    <sheet name="Past Projects" sheetId="7" r:id="rId5"/>
    <sheet name="Problem Substations" sheetId="8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" i="1" l="1"/>
  <c r="G10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G11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D10" i="1"/>
  <c r="AE10" i="1"/>
  <c r="AF10" i="1"/>
  <c r="AG10" i="1"/>
  <c r="AH10" i="1"/>
  <c r="AI10" i="1"/>
  <c r="H10" i="1"/>
  <c r="J7" i="1" l="1"/>
  <c r="AD7" i="1" l="1"/>
  <c r="AE7" i="1"/>
  <c r="AF7" i="1"/>
  <c r="AG7" i="1"/>
  <c r="AH7" i="1"/>
  <c r="AI7" i="1"/>
  <c r="AC7" i="1"/>
  <c r="AH12" i="1" l="1"/>
  <c r="AE12" i="1"/>
  <c r="AI12" i="1"/>
  <c r="AD12" i="1"/>
  <c r="AF12" i="1"/>
  <c r="AG12" i="1"/>
  <c r="V12" i="1"/>
  <c r="N12" i="1"/>
  <c r="G12" i="1"/>
  <c r="X12" i="1" l="1"/>
  <c r="P12" i="1"/>
  <c r="H12" i="1"/>
  <c r="Y12" i="1"/>
  <c r="Q12" i="1"/>
  <c r="I12" i="1"/>
  <c r="J12" i="1"/>
  <c r="W12" i="1"/>
  <c r="O12" i="1"/>
  <c r="R12" i="1"/>
  <c r="AC12" i="1"/>
  <c r="U12" i="1"/>
  <c r="M12" i="1"/>
  <c r="AB12" i="1"/>
  <c r="T12" i="1"/>
  <c r="L12" i="1"/>
  <c r="Z12" i="1"/>
  <c r="AA12" i="1"/>
  <c r="S12" i="1"/>
  <c r="K12" i="1"/>
  <c r="H17" i="1" l="1"/>
  <c r="H18" i="1" s="1"/>
  <c r="G7" i="1"/>
  <c r="G8" i="1" s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I7" i="1"/>
  <c r="H7" i="1"/>
  <c r="H8" i="1" s="1"/>
  <c r="I8" i="1" s="1"/>
  <c r="G9" i="1" l="1"/>
  <c r="C8" i="1" l="1"/>
  <c r="D8" i="1" l="1"/>
  <c r="E8" i="1" s="1"/>
  <c r="D9" i="1" l="1"/>
  <c r="C9" i="1"/>
  <c r="C6" i="1" l="1"/>
  <c r="D6" i="1" s="1"/>
  <c r="E6" i="1" s="1"/>
  <c r="F6" i="1" l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F8" i="1" l="1"/>
  <c r="E9" i="1"/>
  <c r="J8" i="1" l="1"/>
  <c r="H9" i="1"/>
  <c r="F9" i="1"/>
  <c r="K8" i="1" l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D9" i="1"/>
  <c r="AE8" i="1"/>
  <c r="I9" i="1"/>
  <c r="AE9" i="1" l="1"/>
  <c r="AF8" i="1"/>
  <c r="J9" i="1"/>
  <c r="AF9" i="1" l="1"/>
  <c r="AG8" i="1"/>
  <c r="K9" i="1"/>
  <c r="AH8" i="1" l="1"/>
  <c r="AG9" i="1"/>
  <c r="L9" i="1"/>
  <c r="AH9" i="1" l="1"/>
  <c r="AI8" i="1"/>
  <c r="M9" i="1"/>
  <c r="AI9" i="1" l="1"/>
  <c r="H16" i="1"/>
  <c r="N9" i="1"/>
  <c r="O9" i="1" l="1"/>
  <c r="P9" i="1" l="1"/>
  <c r="Q9" i="1" l="1"/>
  <c r="R9" i="1" l="1"/>
  <c r="S9" i="1" l="1"/>
  <c r="T9" i="1" l="1"/>
  <c r="U9" i="1" l="1"/>
  <c r="V9" i="1" l="1"/>
  <c r="W9" i="1" l="1"/>
  <c r="Y9" i="1" l="1"/>
  <c r="X9" i="1"/>
  <c r="Z9" i="1" l="1"/>
  <c r="AA9" i="1" l="1"/>
  <c r="AB9" i="1" l="1"/>
  <c r="AC9" i="1" l="1"/>
</calcChain>
</file>

<file path=xl/sharedStrings.xml><?xml version="1.0" encoding="utf-8"?>
<sst xmlns="http://schemas.openxmlformats.org/spreadsheetml/2006/main" count="75" uniqueCount="55">
  <si>
    <t>2023 IRP</t>
  </si>
  <si>
    <t>Completed 2013-2018</t>
  </si>
  <si>
    <t>CVR - Line Drop Compensation (LDC)</t>
  </si>
  <si>
    <t>Volt Var Optimization (VVO) - Substations where CVR Not Previously Implemented</t>
  </si>
  <si>
    <t>Volt Var Optimization (VVO) - Substations where CVR Previously Implemented</t>
  </si>
  <si>
    <t>Cuumulative Units Installed (VVO &amp; CVR)</t>
  </si>
  <si>
    <t>Annual Incremental Savings (MWh)</t>
  </si>
  <si>
    <t>Annual Cummulative Savings (MWh)</t>
  </si>
  <si>
    <t>Annual Cummulative Savings (aMW)</t>
  </si>
  <si>
    <t>Annual O&amp;M Costs</t>
  </si>
  <si>
    <t>Incremental Capital Cost</t>
  </si>
  <si>
    <t>Total Incremental Cost</t>
  </si>
  <si>
    <t>Note:</t>
  </si>
  <si>
    <t>Capex</t>
  </si>
  <si>
    <t>Opex</t>
  </si>
  <si>
    <t>WACC:</t>
  </si>
  <si>
    <t>Est. Cost per Station (LDC):</t>
  </si>
  <si>
    <t>Inflation:</t>
  </si>
  <si>
    <t>Est. Cost per Station (VVO):</t>
  </si>
  <si>
    <t>NPV of Savings MWh:</t>
  </si>
  <si>
    <t>NPV of Total Costs $:</t>
  </si>
  <si>
    <t>Levelized $/MWh:</t>
  </si>
  <si>
    <t>CVR Projects</t>
  </si>
  <si>
    <t>Substation</t>
  </si>
  <si>
    <t>Status</t>
  </si>
  <si>
    <t>Year Savings Claimed</t>
  </si>
  <si>
    <t>Date of Implementation</t>
  </si>
  <si>
    <t>kWh Savings / YEAR</t>
  </si>
  <si>
    <t>Savings as % of Baseline kWh</t>
  </si>
  <si>
    <t>Cost</t>
  </si>
  <si>
    <t>South Mercer</t>
  </si>
  <si>
    <t>Completed</t>
  </si>
  <si>
    <t>Mercerwood</t>
  </si>
  <si>
    <t>Mercer Island</t>
  </si>
  <si>
    <t>Britton</t>
  </si>
  <si>
    <t>Panther Lake</t>
  </si>
  <si>
    <t>Hazelwood</t>
  </si>
  <si>
    <t>Pine Lake</t>
  </si>
  <si>
    <t>Fairwood</t>
  </si>
  <si>
    <t>Rhode Lakes</t>
  </si>
  <si>
    <t>Rolling Hills</t>
  </si>
  <si>
    <t>Phantom Lake</t>
  </si>
  <si>
    <t>Overlake</t>
  </si>
  <si>
    <t>Lake McDonald</t>
  </si>
  <si>
    <t>Maplewood</t>
  </si>
  <si>
    <t>Marine View</t>
  </si>
  <si>
    <t>Cambridge</t>
  </si>
  <si>
    <t>Avondale</t>
  </si>
  <si>
    <t>Lake Hills</t>
  </si>
  <si>
    <t>Wayne</t>
  </si>
  <si>
    <t>Wilkeson</t>
  </si>
  <si>
    <t>North Bothell</t>
  </si>
  <si>
    <t>Average to Date</t>
  </si>
  <si>
    <t>Total to Date</t>
  </si>
  <si>
    <t>Source 12/3/2020 CVR Update Brownbag for UTC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</si>
</sst>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&quot;$&quot;#,##0"/>
    <numFmt numFmtId="169" formatCode="&quot;$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BBB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0" fillId="5" borderId="8" xfId="0" applyFill="1" applyBorder="1"/>
    <xf numFmtId="3" fontId="0" fillId="5" borderId="9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8" fontId="0" fillId="0" borderId="8" xfId="0" applyNumberFormat="1" applyBorder="1"/>
    <xf numFmtId="0" fontId="0" fillId="0" borderId="8" xfId="0" applyBorder="1"/>
    <xf numFmtId="0" fontId="2" fillId="5" borderId="5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3" fontId="0" fillId="5" borderId="9" xfId="0" applyNumberFormat="1" applyFill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3" fillId="0" borderId="9" xfId="0" applyNumberFormat="1" applyFont="1" applyBorder="1"/>
    <xf numFmtId="167" fontId="0" fillId="5" borderId="9" xfId="3" applyNumberFormat="1" applyFont="1" applyFill="1" applyBorder="1" applyAlignment="1">
      <alignment horizontal="center"/>
    </xf>
    <xf numFmtId="167" fontId="0" fillId="0" borderId="9" xfId="3" applyNumberFormat="1" applyFont="1" applyFill="1" applyBorder="1" applyAlignment="1">
      <alignment horizontal="center"/>
    </xf>
    <xf numFmtId="167" fontId="0" fillId="5" borderId="9" xfId="3" applyNumberFormat="1" applyFont="1" applyFill="1" applyBorder="1" applyAlignment="1">
      <alignment horizontal="center" vertical="center"/>
    </xf>
    <xf numFmtId="167" fontId="0" fillId="0" borderId="9" xfId="3" applyNumberFormat="1" applyFont="1" applyFill="1" applyBorder="1" applyAlignment="1">
      <alignment horizontal="center" vertical="center"/>
    </xf>
    <xf numFmtId="167" fontId="3" fillId="0" borderId="9" xfId="3" applyNumberFormat="1" applyFont="1" applyFill="1" applyBorder="1" applyAlignment="1"/>
    <xf numFmtId="167" fontId="0" fillId="0" borderId="9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5" borderId="9" xfId="0" applyNumberForma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/>
    <xf numFmtId="3" fontId="2" fillId="6" borderId="12" xfId="0" applyNumberFormat="1" applyFont="1" applyFill="1" applyBorder="1"/>
    <xf numFmtId="167" fontId="2" fillId="6" borderId="12" xfId="3" applyNumberFormat="1" applyFont="1" applyFill="1" applyBorder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 vertical="center"/>
    </xf>
    <xf numFmtId="167" fontId="4" fillId="0" borderId="9" xfId="3" applyNumberFormat="1" applyFont="1" applyFill="1" applyBorder="1" applyAlignment="1">
      <alignment horizontal="center" vertical="center"/>
    </xf>
    <xf numFmtId="0" fontId="4" fillId="5" borderId="8" xfId="0" applyFont="1" applyFill="1" applyBorder="1"/>
    <xf numFmtId="0" fontId="4" fillId="5" borderId="9" xfId="0" applyFont="1" applyFill="1" applyBorder="1" applyAlignment="1">
      <alignment horizontal="center"/>
    </xf>
    <xf numFmtId="14" fontId="4" fillId="5" borderId="9" xfId="0" applyNumberFormat="1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 vertical="center"/>
    </xf>
    <xf numFmtId="167" fontId="4" fillId="5" borderId="9" xfId="3" applyNumberFormat="1" applyFont="1" applyFill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/>
    </xf>
    <xf numFmtId="0" fontId="2" fillId="5" borderId="14" xfId="0" applyFont="1" applyFill="1" applyBorder="1" applyAlignment="1">
      <alignment vertical="center"/>
    </xf>
    <xf numFmtId="8" fontId="0" fillId="0" borderId="15" xfId="0" applyNumberFormat="1" applyBorder="1"/>
    <xf numFmtId="0" fontId="0" fillId="5" borderId="15" xfId="0" applyFill="1" applyBorder="1"/>
    <xf numFmtId="0" fontId="0" fillId="0" borderId="15" xfId="0" applyBorder="1"/>
    <xf numFmtId="0" fontId="4" fillId="0" borderId="15" xfId="0" applyFont="1" applyBorder="1"/>
    <xf numFmtId="0" fontId="4" fillId="5" borderId="15" xfId="0" applyFont="1" applyFill="1" applyBorder="1"/>
    <xf numFmtId="0" fontId="3" fillId="0" borderId="15" xfId="0" applyFont="1" applyBorder="1"/>
    <xf numFmtId="167" fontId="4" fillId="5" borderId="9" xfId="3" applyNumberFormat="1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167" fontId="4" fillId="0" borderId="9" xfId="3" applyNumberFormat="1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166" fontId="0" fillId="0" borderId="10" xfId="2" applyNumberFormat="1" applyFont="1" applyFill="1" applyBorder="1" applyAlignment="1">
      <alignment horizontal="center"/>
    </xf>
    <xf numFmtId="166" fontId="0" fillId="5" borderId="10" xfId="2" applyNumberFormat="1" applyFont="1" applyFill="1" applyBorder="1" applyAlignment="1">
      <alignment horizontal="center"/>
    </xf>
    <xf numFmtId="166" fontId="0" fillId="5" borderId="10" xfId="2" applyNumberFormat="1" applyFont="1" applyFill="1" applyBorder="1" applyAlignment="1"/>
    <xf numFmtId="166" fontId="0" fillId="0" borderId="10" xfId="2" applyNumberFormat="1" applyFont="1" applyFill="1" applyBorder="1" applyAlignment="1"/>
    <xf numFmtId="166" fontId="4" fillId="0" borderId="10" xfId="2" applyNumberFormat="1" applyFont="1" applyFill="1" applyBorder="1" applyAlignment="1"/>
    <xf numFmtId="166" fontId="4" fillId="5" borderId="10" xfId="2" applyNumberFormat="1" applyFont="1" applyFill="1" applyBorder="1" applyAlignment="1"/>
    <xf numFmtId="166" fontId="4" fillId="0" borderId="10" xfId="2" applyNumberFormat="1" applyFont="1" applyFill="1" applyBorder="1" applyAlignment="1">
      <alignment horizontal="center"/>
    </xf>
    <xf numFmtId="166" fontId="4" fillId="5" borderId="10" xfId="2" applyNumberFormat="1" applyFont="1" applyFill="1" applyBorder="1" applyAlignment="1">
      <alignment horizontal="center"/>
    </xf>
    <xf numFmtId="166" fontId="2" fillId="6" borderId="13" xfId="0" applyNumberFormat="1" applyFont="1" applyFill="1" applyBorder="1"/>
    <xf numFmtId="14" fontId="2" fillId="5" borderId="9" xfId="0" applyNumberFormat="1" applyFont="1" applyFill="1" applyBorder="1" applyAlignment="1">
      <alignment horizontal="center"/>
    </xf>
    <xf numFmtId="14" fontId="2" fillId="6" borderId="12" xfId="0" applyNumberFormat="1" applyFont="1" applyFill="1" applyBorder="1" applyAlignment="1">
      <alignment horizontal="center"/>
    </xf>
    <xf numFmtId="3" fontId="5" fillId="5" borderId="9" xfId="0" applyNumberFormat="1" applyFont="1" applyFill="1" applyBorder="1" applyAlignment="1">
      <alignment horizontal="center"/>
    </xf>
    <xf numFmtId="167" fontId="5" fillId="5" borderId="9" xfId="3" applyNumberFormat="1" applyFont="1" applyFill="1" applyBorder="1" applyAlignment="1">
      <alignment horizontal="center"/>
    </xf>
    <xf numFmtId="166" fontId="5" fillId="5" borderId="10" xfId="2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8" fontId="7" fillId="0" borderId="4" xfId="0" applyNumberFormat="1" applyFont="1" applyBorder="1" applyAlignment="1">
      <alignment horizontal="center" vertical="center" wrapText="1"/>
    </xf>
    <xf numFmtId="165" fontId="7" fillId="3" borderId="3" xfId="1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8" fontId="7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7" fillId="0" borderId="0" xfId="3" applyNumberFormat="1" applyFont="1" applyFill="1" applyBorder="1"/>
    <xf numFmtId="8" fontId="7" fillId="0" borderId="0" xfId="1" applyNumberFormat="1" applyFont="1" applyFill="1" applyBorder="1"/>
    <xf numFmtId="8" fontId="7" fillId="0" borderId="0" xfId="0" applyNumberFormat="1" applyFont="1"/>
    <xf numFmtId="44" fontId="7" fillId="0" borderId="0" xfId="2" applyFont="1" applyFill="1" applyBorder="1"/>
    <xf numFmtId="43" fontId="7" fillId="0" borderId="0" xfId="1" applyFont="1"/>
    <xf numFmtId="43" fontId="7" fillId="0" borderId="0" xfId="0" applyNumberFormat="1" applyFont="1"/>
    <xf numFmtId="0" fontId="7" fillId="7" borderId="4" xfId="0" applyFont="1" applyFill="1" applyBorder="1" applyAlignment="1">
      <alignment horizontal="center" vertical="center" wrapText="1"/>
    </xf>
    <xf numFmtId="0" fontId="7" fillId="0" borderId="19" xfId="0" applyFont="1" applyBorder="1"/>
    <xf numFmtId="0" fontId="7" fillId="0" borderId="22" xfId="0" applyFont="1" applyBorder="1"/>
    <xf numFmtId="0" fontId="7" fillId="0" borderId="24" xfId="0" applyFont="1" applyBorder="1"/>
    <xf numFmtId="165" fontId="9" fillId="0" borderId="23" xfId="1" applyNumberFormat="1" applyFont="1" applyBorder="1"/>
    <xf numFmtId="6" fontId="9" fillId="0" borderId="23" xfId="0" applyNumberFormat="1" applyFont="1" applyBorder="1"/>
    <xf numFmtId="0" fontId="6" fillId="8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168" fontId="7" fillId="0" borderId="9" xfId="0" applyNumberFormat="1" applyFont="1" applyBorder="1" applyAlignment="1">
      <alignment horizontal="center"/>
    </xf>
    <xf numFmtId="0" fontId="6" fillId="0" borderId="2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5" xfId="0" applyFont="1" applyBorder="1" applyAlignment="1">
      <alignment horizontal="right"/>
    </xf>
    <xf numFmtId="10" fontId="9" fillId="9" borderId="21" xfId="3" applyNumberFormat="1" applyFont="1" applyFill="1" applyBorder="1"/>
    <xf numFmtId="10" fontId="9" fillId="9" borderId="23" xfId="3" applyNumberFormat="1" applyFont="1" applyFill="1" applyBorder="1"/>
    <xf numFmtId="169" fontId="9" fillId="0" borderId="4" xfId="0" applyNumberFormat="1" applyFont="1" applyBorder="1"/>
    <xf numFmtId="168" fontId="7" fillId="7" borderId="4" xfId="0" applyNumberFormat="1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8" fontId="2" fillId="6" borderId="17" xfId="0" applyNumberFormat="1" applyFont="1" applyFill="1" applyBorder="1" applyAlignment="1">
      <alignment horizontal="center"/>
    </xf>
    <xf numFmtId="8" fontId="2" fillId="6" borderId="18" xfId="0" applyNumberFormat="1" applyFont="1" applyFill="1" applyBorder="1" applyAlignment="1">
      <alignment horizontal="center"/>
    </xf>
    <xf numFmtId="8" fontId="2" fillId="6" borderId="2" xfId="0" applyNumberFormat="1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66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 - Annual Cummulative Savings (aMW)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574218415036"/>
          <c:y val="0.16326771324088299"/>
          <c:w val="0.83960426024861956"/>
          <c:h val="0.689216608340624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'DE Savings '!$B$9</c:f>
              <c:strCache>
                <c:ptCount val="1"/>
                <c:pt idx="0">
                  <c:v>Annual Cummulative Savings (aMW)</c:v>
                </c:pt>
              </c:strCache>
            </c:strRef>
          </c:tx>
          <c:spPr>
            <a:solidFill>
              <a:srgbClr val="006671"/>
            </a:solidFill>
          </c:spPr>
          <c:invertIfNegative val="0"/>
          <c:cat>
            <c:numRef>
              <c:f>'DE Savings '!$G$2:$AI$2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'DE Savings '!$G$9:$AI$9</c:f>
              <c:numCache>
                <c:formatCode>0.0</c:formatCode>
                <c:ptCount val="29"/>
                <c:pt idx="0">
                  <c:v>1.1044520547945205</c:v>
                </c:pt>
                <c:pt idx="1">
                  <c:v>2.349486301369863</c:v>
                </c:pt>
                <c:pt idx="2">
                  <c:v>3.3455136986301373</c:v>
                </c:pt>
                <c:pt idx="3">
                  <c:v>4.3740068493150686</c:v>
                </c:pt>
                <c:pt idx="4">
                  <c:v>5.4511986301369859</c:v>
                </c:pt>
                <c:pt idx="5">
                  <c:v>6.5283904109589042</c:v>
                </c:pt>
                <c:pt idx="6">
                  <c:v>7.6218150684931496</c:v>
                </c:pt>
                <c:pt idx="7">
                  <c:v>8.9118721461187196</c:v>
                </c:pt>
                <c:pt idx="8">
                  <c:v>10.20192922374429</c:v>
                </c:pt>
                <c:pt idx="9">
                  <c:v>11.49198630136986</c:v>
                </c:pt>
                <c:pt idx="10">
                  <c:v>12.484337899543377</c:v>
                </c:pt>
                <c:pt idx="11">
                  <c:v>12.484337899543377</c:v>
                </c:pt>
                <c:pt idx="12">
                  <c:v>12.484337899543377</c:v>
                </c:pt>
                <c:pt idx="13">
                  <c:v>12.484337899543377</c:v>
                </c:pt>
                <c:pt idx="14">
                  <c:v>12.484337899543377</c:v>
                </c:pt>
                <c:pt idx="15">
                  <c:v>12.484337899543377</c:v>
                </c:pt>
                <c:pt idx="16">
                  <c:v>12.484337899543377</c:v>
                </c:pt>
                <c:pt idx="17">
                  <c:v>12.484337899543377</c:v>
                </c:pt>
                <c:pt idx="18">
                  <c:v>12.484337899543377</c:v>
                </c:pt>
                <c:pt idx="19">
                  <c:v>12.484337899543377</c:v>
                </c:pt>
                <c:pt idx="20">
                  <c:v>12.484337899543377</c:v>
                </c:pt>
                <c:pt idx="21">
                  <c:v>12.484337899543377</c:v>
                </c:pt>
                <c:pt idx="22">
                  <c:v>12.484337899543377</c:v>
                </c:pt>
                <c:pt idx="23">
                  <c:v>12.484337899543377</c:v>
                </c:pt>
                <c:pt idx="24">
                  <c:v>12.484337899543377</c:v>
                </c:pt>
                <c:pt idx="25">
                  <c:v>12.484337899543377</c:v>
                </c:pt>
                <c:pt idx="26">
                  <c:v>12.484337899543377</c:v>
                </c:pt>
                <c:pt idx="27">
                  <c:v>12.484337899543377</c:v>
                </c:pt>
                <c:pt idx="28">
                  <c:v>12.484337899543377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C-4425-8745-938E4BAC8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68239488"/>
        <c:axId val="187274752"/>
      </c:barChart>
      <c:catAx>
        <c:axId val="16823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87274752"/>
        <c:crosses val="autoZero"/>
        <c:auto val="1"/>
        <c:lblAlgn val="ctr"/>
        <c:lblOffset val="100"/>
        <c:tickLblSkip val="1"/>
        <c:noMultiLvlLbl val="0"/>
      </c:catAx>
      <c:valAx>
        <c:axId val="187274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Savings in aMW per year</a:t>
                </a:r>
              </a:p>
            </c:rich>
          </c:tx>
          <c:layout>
            <c:manualLayout>
              <c:xMode val="edge"/>
              <c:yMode val="edge"/>
              <c:x val="2.7498855728207882E-2"/>
              <c:y val="0.2870252366302438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682394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964408</xdr:colOff>
      <xdr:row>13</xdr:row>
      <xdr:rowOff>143365</xdr:rowOff>
    </xdr:from>
    <xdr:to>
      <xdr:col>21</xdr:col>
      <xdr:colOff>23814</xdr:colOff>
      <xdr:row>36</xdr:row>
      <xdr:rowOff>130969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503848</xdr:colOff>
      <xdr:row>46</xdr:row>
      <xdr:rowOff>82758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819048" cy="84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579428</xdr:colOff>
      <xdr:row>28</xdr:row>
      <xdr:rowOff>31741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71428" cy="5152381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30</xdr:col>
      <xdr:colOff>18362</xdr:colOff>
      <xdr:row>40</xdr:row>
      <xdr:rowOff>49905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01600" y="0"/>
          <a:ext cx="5504762" cy="71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101598</xdr:colOff>
      <xdr:row>29</xdr:row>
      <xdr:rowOff>12690</xdr:rowOff>
    </xdr:from>
    <xdr:to>
      <xdr:col>12</xdr:col>
      <xdr:colOff>299813</xdr:colOff>
      <xdr:row>46</xdr:row>
      <xdr:rowOff>49330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598" y="5168890"/>
          <a:ext cx="7513415" cy="3059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209660</xdr:colOff>
      <xdr:row>11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24860" cy="21412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46933</xdr:colOff>
      <xdr:row>24</xdr:row>
      <xdr:rowOff>10880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33333" cy="440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</xdr:row>
      <xdr:rowOff>0</xdr:rowOff>
    </xdr:from>
    <xdr:to>
      <xdr:col>19</xdr:col>
      <xdr:colOff>441960</xdr:colOff>
      <xdr:row>20</xdr:row>
      <xdr:rowOff>130459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731520"/>
          <a:ext cx="5318760" cy="3056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46"/>
  <sheetViews>
    <sheetView tabSelected="1" zoomScale="86" zoomScaleNormal="86" workbookViewId="0">
      <selection activeCell="AS5" sqref="AS5"/>
    </sheetView>
  </sheetViews>
  <sheetFormatPr defaultColWidth="9.140625" defaultRowHeight="18.75"/>
  <cols>
    <col min="1" max="1" width="3.5703125" style="64" customWidth="1"/>
    <col min="2" max="2" width="35" style="64" customWidth="1"/>
    <col min="3" max="3" width="26" style="64" customWidth="1"/>
    <col min="4" max="4" width="14.28515625" style="64" bestFit="1" customWidth="1"/>
    <col min="5" max="5" width="12.42578125" style="64" bestFit="1" customWidth="1"/>
    <col min="6" max="6" width="10.7109375" style="64" customWidth="1"/>
    <col min="7" max="7" width="15.42578125" style="64" customWidth="1"/>
    <col min="8" max="8" width="18.140625" style="64" bestFit="1" customWidth="1"/>
    <col min="9" max="35" width="14.7109375" style="64" customWidth="1"/>
    <col min="36" max="36" width="9.28515625" style="64" bestFit="1" customWidth="1"/>
    <col min="37" max="16384" width="9.140625" style="64"/>
  </cols>
  <sheetData>
    <row r="1" spans="2:36" ht="19.5" thickBot="1">
      <c r="B1" s="63" t="s">
        <v>0</v>
      </c>
      <c r="G1" s="64">
        <v>1</v>
      </c>
      <c r="H1" s="64">
        <v>2</v>
      </c>
      <c r="I1" s="64">
        <v>3</v>
      </c>
      <c r="J1" s="64">
        <v>4</v>
      </c>
      <c r="K1" s="64">
        <v>5</v>
      </c>
      <c r="L1" s="64">
        <v>6</v>
      </c>
      <c r="M1" s="64">
        <v>7</v>
      </c>
      <c r="N1" s="64">
        <v>8</v>
      </c>
      <c r="O1" s="64">
        <v>9</v>
      </c>
      <c r="P1" s="64">
        <v>10</v>
      </c>
      <c r="Q1" s="64">
        <v>11</v>
      </c>
      <c r="R1" s="64">
        <v>12</v>
      </c>
      <c r="S1" s="64">
        <v>13</v>
      </c>
      <c r="T1" s="64">
        <v>14</v>
      </c>
      <c r="U1" s="64">
        <v>15</v>
      </c>
      <c r="V1" s="64">
        <v>16</v>
      </c>
      <c r="W1" s="64">
        <v>17</v>
      </c>
      <c r="X1" s="64">
        <v>18</v>
      </c>
      <c r="Y1" s="64">
        <v>19</v>
      </c>
      <c r="Z1" s="64">
        <v>20</v>
      </c>
      <c r="AA1" s="64">
        <v>21</v>
      </c>
      <c r="AB1" s="64">
        <v>22</v>
      </c>
      <c r="AC1" s="64">
        <v>23</v>
      </c>
      <c r="AD1" s="64">
        <v>24</v>
      </c>
      <c r="AE1" s="64">
        <v>25</v>
      </c>
      <c r="AF1" s="64">
        <v>26</v>
      </c>
      <c r="AG1" s="64">
        <v>27</v>
      </c>
      <c r="AH1" s="64">
        <v>28</v>
      </c>
      <c r="AI1" s="64">
        <v>29</v>
      </c>
    </row>
    <row r="2" spans="2:36" ht="29.25" customHeight="1" thickBot="1">
      <c r="B2" s="65"/>
      <c r="C2" s="66" t="s">
        <v>1</v>
      </c>
      <c r="D2" s="67">
        <v>2019</v>
      </c>
      <c r="E2" s="67">
        <v>2020</v>
      </c>
      <c r="F2" s="67">
        <v>2021</v>
      </c>
      <c r="G2" s="68">
        <v>2022</v>
      </c>
      <c r="H2" s="68">
        <v>2023</v>
      </c>
      <c r="I2" s="68">
        <v>2024</v>
      </c>
      <c r="J2" s="68">
        <v>2025</v>
      </c>
      <c r="K2" s="68">
        <v>2026</v>
      </c>
      <c r="L2" s="68">
        <v>2027</v>
      </c>
      <c r="M2" s="68">
        <v>2028</v>
      </c>
      <c r="N2" s="68">
        <v>2029</v>
      </c>
      <c r="O2" s="68">
        <v>2030</v>
      </c>
      <c r="P2" s="68">
        <v>2031</v>
      </c>
      <c r="Q2" s="68">
        <v>2032</v>
      </c>
      <c r="R2" s="68">
        <v>2033</v>
      </c>
      <c r="S2" s="68">
        <v>2034</v>
      </c>
      <c r="T2" s="68">
        <v>2035</v>
      </c>
      <c r="U2" s="68">
        <v>2036</v>
      </c>
      <c r="V2" s="68">
        <v>2037</v>
      </c>
      <c r="W2" s="68">
        <v>2038</v>
      </c>
      <c r="X2" s="68">
        <v>2039</v>
      </c>
      <c r="Y2" s="68">
        <v>2040</v>
      </c>
      <c r="Z2" s="68">
        <v>2041</v>
      </c>
      <c r="AA2" s="68">
        <v>2042</v>
      </c>
      <c r="AB2" s="68">
        <v>2043</v>
      </c>
      <c r="AC2" s="68">
        <v>2044</v>
      </c>
      <c r="AD2" s="68">
        <v>2045</v>
      </c>
      <c r="AE2" s="68">
        <v>2046</v>
      </c>
      <c r="AF2" s="68">
        <v>2047</v>
      </c>
      <c r="AG2" s="68">
        <v>2048</v>
      </c>
      <c r="AH2" s="68">
        <v>2049</v>
      </c>
      <c r="AI2" s="68">
        <v>2050</v>
      </c>
    </row>
    <row r="3" spans="2:36" ht="34.5" customHeight="1" thickBot="1">
      <c r="B3" s="69" t="s">
        <v>2</v>
      </c>
      <c r="C3" s="70">
        <v>11</v>
      </c>
      <c r="D3" s="71">
        <v>1</v>
      </c>
      <c r="E3" s="71">
        <v>3</v>
      </c>
      <c r="F3" s="71">
        <v>5</v>
      </c>
      <c r="G3" s="72">
        <v>14</v>
      </c>
      <c r="H3" s="73">
        <v>15</v>
      </c>
      <c r="I3" s="73">
        <v>12</v>
      </c>
      <c r="J3" s="73">
        <v>10</v>
      </c>
      <c r="K3" s="73">
        <v>7</v>
      </c>
      <c r="L3" s="73">
        <v>7</v>
      </c>
      <c r="M3" s="73">
        <v>6</v>
      </c>
      <c r="N3" s="74"/>
      <c r="O3" s="74"/>
      <c r="P3" s="74"/>
      <c r="Q3" s="74"/>
      <c r="R3" s="74"/>
      <c r="S3" s="74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</row>
    <row r="4" spans="2:36" ht="57" thickBot="1">
      <c r="B4" s="69" t="s">
        <v>3</v>
      </c>
      <c r="C4" s="70"/>
      <c r="D4" s="71"/>
      <c r="E4" s="71"/>
      <c r="F4" s="71"/>
      <c r="G4" s="73"/>
      <c r="H4" s="73"/>
      <c r="I4" s="73"/>
      <c r="J4" s="73">
        <v>2</v>
      </c>
      <c r="K4" s="73">
        <v>5</v>
      </c>
      <c r="L4" s="73">
        <v>5</v>
      </c>
      <c r="M4" s="73">
        <v>6</v>
      </c>
      <c r="N4" s="73">
        <v>13</v>
      </c>
      <c r="O4" s="73">
        <v>13</v>
      </c>
      <c r="P4" s="73">
        <v>13</v>
      </c>
      <c r="Q4" s="73">
        <v>10</v>
      </c>
      <c r="R4" s="73">
        <v>0</v>
      </c>
      <c r="S4" s="73">
        <v>0</v>
      </c>
      <c r="T4" s="73">
        <v>0</v>
      </c>
      <c r="U4" s="73">
        <v>0</v>
      </c>
      <c r="V4" s="73">
        <v>0</v>
      </c>
      <c r="W4" s="73">
        <v>0</v>
      </c>
      <c r="X4" s="73">
        <v>0</v>
      </c>
      <c r="Y4" s="73">
        <v>0</v>
      </c>
      <c r="Z4" s="73">
        <v>0</v>
      </c>
      <c r="AA4" s="73">
        <v>0</v>
      </c>
      <c r="AB4" s="73">
        <v>0</v>
      </c>
      <c r="AC4" s="92">
        <v>2</v>
      </c>
      <c r="AD4" s="92">
        <v>5</v>
      </c>
      <c r="AE4" s="92">
        <v>5</v>
      </c>
      <c r="AF4" s="92">
        <v>6</v>
      </c>
      <c r="AG4" s="92">
        <v>13</v>
      </c>
      <c r="AH4" s="92">
        <v>13</v>
      </c>
      <c r="AI4" s="92">
        <v>13</v>
      </c>
      <c r="AJ4" s="63"/>
    </row>
    <row r="5" spans="2:36" ht="57" thickBot="1">
      <c r="B5" s="69" t="s">
        <v>4</v>
      </c>
      <c r="C5" s="70"/>
      <c r="D5" s="71"/>
      <c r="E5" s="71"/>
      <c r="F5" s="71"/>
      <c r="G5" s="73"/>
      <c r="H5" s="73"/>
      <c r="I5" s="73"/>
      <c r="J5" s="73"/>
      <c r="K5" s="73"/>
      <c r="L5" s="73"/>
      <c r="M5" s="73"/>
      <c r="N5" s="73"/>
      <c r="O5" s="73"/>
      <c r="P5" s="73"/>
      <c r="Q5" s="73">
        <v>3</v>
      </c>
      <c r="R5" s="73">
        <v>13</v>
      </c>
      <c r="S5" s="75">
        <v>13</v>
      </c>
      <c r="T5" s="73">
        <v>13</v>
      </c>
      <c r="U5" s="73">
        <v>13</v>
      </c>
      <c r="V5" s="73">
        <v>13</v>
      </c>
      <c r="W5" s="73">
        <v>13</v>
      </c>
      <c r="X5" s="73">
        <v>10</v>
      </c>
      <c r="Y5" s="73">
        <v>0</v>
      </c>
      <c r="Z5" s="73">
        <v>0</v>
      </c>
      <c r="AA5" s="73">
        <v>0</v>
      </c>
      <c r="AB5" s="73">
        <v>0</v>
      </c>
      <c r="AC5" s="73">
        <v>0</v>
      </c>
      <c r="AD5" s="73">
        <v>0</v>
      </c>
      <c r="AE5" s="73">
        <v>0</v>
      </c>
      <c r="AF5" s="73">
        <v>0</v>
      </c>
      <c r="AG5" s="73">
        <v>0</v>
      </c>
      <c r="AH5" s="73">
        <v>0</v>
      </c>
      <c r="AI5" s="73">
        <v>0</v>
      </c>
      <c r="AJ5" s="63"/>
    </row>
    <row r="6" spans="2:36" ht="38.25" thickBot="1">
      <c r="B6" s="69" t="s">
        <v>5</v>
      </c>
      <c r="C6" s="70">
        <f>C3</f>
        <v>11</v>
      </c>
      <c r="D6" s="71">
        <f>C6+D3+D4</f>
        <v>12</v>
      </c>
      <c r="E6" s="71">
        <f t="shared" ref="E6:F6" si="0">D6+E3+E4</f>
        <v>15</v>
      </c>
      <c r="F6" s="71">
        <f t="shared" si="0"/>
        <v>20</v>
      </c>
      <c r="G6" s="73">
        <f>F6+G3+G4+G5</f>
        <v>34</v>
      </c>
      <c r="H6" s="73">
        <f t="shared" ref="H6:AC6" si="1">G6+H3+H4+H5</f>
        <v>49</v>
      </c>
      <c r="I6" s="73">
        <f t="shared" si="1"/>
        <v>61</v>
      </c>
      <c r="J6" s="73">
        <f t="shared" si="1"/>
        <v>73</v>
      </c>
      <c r="K6" s="73">
        <f t="shared" si="1"/>
        <v>85</v>
      </c>
      <c r="L6" s="73">
        <f t="shared" si="1"/>
        <v>97</v>
      </c>
      <c r="M6" s="73">
        <f t="shared" si="1"/>
        <v>109</v>
      </c>
      <c r="N6" s="73">
        <f t="shared" si="1"/>
        <v>122</v>
      </c>
      <c r="O6" s="73">
        <f t="shared" si="1"/>
        <v>135</v>
      </c>
      <c r="P6" s="73">
        <f t="shared" si="1"/>
        <v>148</v>
      </c>
      <c r="Q6" s="73">
        <f t="shared" si="1"/>
        <v>161</v>
      </c>
      <c r="R6" s="73">
        <f t="shared" si="1"/>
        <v>174</v>
      </c>
      <c r="S6" s="73">
        <f t="shared" si="1"/>
        <v>187</v>
      </c>
      <c r="T6" s="73">
        <f t="shared" si="1"/>
        <v>200</v>
      </c>
      <c r="U6" s="73">
        <f t="shared" si="1"/>
        <v>213</v>
      </c>
      <c r="V6" s="73">
        <f t="shared" si="1"/>
        <v>226</v>
      </c>
      <c r="W6" s="73">
        <f t="shared" si="1"/>
        <v>239</v>
      </c>
      <c r="X6" s="73">
        <f t="shared" si="1"/>
        <v>249</v>
      </c>
      <c r="Y6" s="73">
        <f t="shared" si="1"/>
        <v>249</v>
      </c>
      <c r="Z6" s="73">
        <f t="shared" si="1"/>
        <v>249</v>
      </c>
      <c r="AA6" s="73">
        <f t="shared" si="1"/>
        <v>249</v>
      </c>
      <c r="AB6" s="73">
        <f t="shared" si="1"/>
        <v>249</v>
      </c>
      <c r="AC6" s="73">
        <f t="shared" si="1"/>
        <v>251</v>
      </c>
      <c r="AD6" s="73">
        <f t="shared" ref="AD6" si="2">AC6+AD3+AD4+AD5</f>
        <v>256</v>
      </c>
      <c r="AE6" s="73">
        <f t="shared" ref="AE6" si="3">AD6+AE3+AE4+AE5</f>
        <v>261</v>
      </c>
      <c r="AF6" s="73">
        <f t="shared" ref="AF6" si="4">AE6+AF3+AF4+AF5</f>
        <v>267</v>
      </c>
      <c r="AG6" s="73">
        <f t="shared" ref="AG6" si="5">AF6+AG3+AG4+AG5</f>
        <v>280</v>
      </c>
      <c r="AH6" s="73">
        <f t="shared" ref="AH6" si="6">AG6+AH3+AH4+AH5</f>
        <v>293</v>
      </c>
      <c r="AI6" s="73">
        <f t="shared" ref="AI6" si="7">AH6+AI3+AI4+AI5</f>
        <v>306</v>
      </c>
    </row>
    <row r="7" spans="2:36" ht="38.25" thickBot="1">
      <c r="B7" s="69" t="s">
        <v>6</v>
      </c>
      <c r="C7" s="76">
        <v>9891.65</v>
      </c>
      <c r="D7" s="77">
        <v>326.64400000000001</v>
      </c>
      <c r="E7" s="77">
        <v>2059</v>
      </c>
      <c r="F7" s="77">
        <v>2264</v>
      </c>
      <c r="G7" s="78">
        <f>727.1*(G3-4)+2404</f>
        <v>9675</v>
      </c>
      <c r="H7" s="78">
        <f>H3*727.1</f>
        <v>10906.5</v>
      </c>
      <c r="I7" s="78">
        <f>I3*727.1</f>
        <v>8725.2000000000007</v>
      </c>
      <c r="J7" s="78">
        <f>(727.1+142.2)*J4+727.1*J3</f>
        <v>9009.6</v>
      </c>
      <c r="K7" s="78">
        <f t="shared" ref="K7:AB7" si="8">(727.1+142.2)*K4+727.1*K3</f>
        <v>9436.2000000000007</v>
      </c>
      <c r="L7" s="78">
        <f t="shared" si="8"/>
        <v>9436.2000000000007</v>
      </c>
      <c r="M7" s="78">
        <f t="shared" si="8"/>
        <v>9578.4</v>
      </c>
      <c r="N7" s="78">
        <f t="shared" si="8"/>
        <v>11300.9</v>
      </c>
      <c r="O7" s="78">
        <f t="shared" si="8"/>
        <v>11300.9</v>
      </c>
      <c r="P7" s="78">
        <f t="shared" si="8"/>
        <v>11300.9</v>
      </c>
      <c r="Q7" s="78">
        <f t="shared" si="8"/>
        <v>8693</v>
      </c>
      <c r="R7" s="78">
        <f t="shared" si="8"/>
        <v>0</v>
      </c>
      <c r="S7" s="78">
        <f t="shared" si="8"/>
        <v>0</v>
      </c>
      <c r="T7" s="78">
        <f t="shared" si="8"/>
        <v>0</v>
      </c>
      <c r="U7" s="78">
        <f t="shared" si="8"/>
        <v>0</v>
      </c>
      <c r="V7" s="78">
        <f t="shared" si="8"/>
        <v>0</v>
      </c>
      <c r="W7" s="78">
        <f t="shared" si="8"/>
        <v>0</v>
      </c>
      <c r="X7" s="78">
        <f t="shared" si="8"/>
        <v>0</v>
      </c>
      <c r="Y7" s="78">
        <f t="shared" si="8"/>
        <v>0</v>
      </c>
      <c r="Z7" s="78">
        <f t="shared" si="8"/>
        <v>0</v>
      </c>
      <c r="AA7" s="78">
        <f t="shared" si="8"/>
        <v>0</v>
      </c>
      <c r="AB7" s="78">
        <f t="shared" si="8"/>
        <v>0</v>
      </c>
      <c r="AC7" s="78">
        <f>(727.1+142.2)*AC4+727.1*AC3-J4*(727.1+142.2)</f>
        <v>0</v>
      </c>
      <c r="AD7" s="78">
        <f t="shared" ref="AD7:AI7" si="9">(727.1+142.2)*AD4+727.1*AD3-K4*(727.1+142.2)</f>
        <v>0</v>
      </c>
      <c r="AE7" s="78">
        <f t="shared" si="9"/>
        <v>0</v>
      </c>
      <c r="AF7" s="78">
        <f t="shared" si="9"/>
        <v>0</v>
      </c>
      <c r="AG7" s="78">
        <f t="shared" si="9"/>
        <v>0</v>
      </c>
      <c r="AH7" s="78">
        <f t="shared" si="9"/>
        <v>0</v>
      </c>
      <c r="AI7" s="78">
        <f t="shared" si="9"/>
        <v>0</v>
      </c>
    </row>
    <row r="8" spans="2:36" ht="38.25" thickBot="1">
      <c r="B8" s="69" t="s">
        <v>7</v>
      </c>
      <c r="C8" s="76">
        <f>C7</f>
        <v>9891.65</v>
      </c>
      <c r="D8" s="77">
        <f>D7+C8</f>
        <v>10218.294</v>
      </c>
      <c r="E8" s="77">
        <f>E7+D8</f>
        <v>12277.294</v>
      </c>
      <c r="F8" s="77">
        <f>F7+E8</f>
        <v>14541.294</v>
      </c>
      <c r="G8" s="79">
        <f>G7</f>
        <v>9675</v>
      </c>
      <c r="H8" s="79">
        <f>H7+G8</f>
        <v>20581.5</v>
      </c>
      <c r="I8" s="79">
        <f>I7+H8</f>
        <v>29306.7</v>
      </c>
      <c r="J8" s="79">
        <f t="shared" ref="J8:AC8" si="10">J7+I8</f>
        <v>38316.300000000003</v>
      </c>
      <c r="K8" s="79">
        <f t="shared" si="10"/>
        <v>47752.5</v>
      </c>
      <c r="L8" s="79">
        <f t="shared" si="10"/>
        <v>57188.7</v>
      </c>
      <c r="M8" s="79">
        <f t="shared" si="10"/>
        <v>66767.099999999991</v>
      </c>
      <c r="N8" s="79">
        <f t="shared" si="10"/>
        <v>78067.999999999985</v>
      </c>
      <c r="O8" s="79">
        <f t="shared" si="10"/>
        <v>89368.89999999998</v>
      </c>
      <c r="P8" s="79">
        <f t="shared" si="10"/>
        <v>100669.79999999997</v>
      </c>
      <c r="Q8" s="79">
        <f t="shared" si="10"/>
        <v>109362.79999999997</v>
      </c>
      <c r="R8" s="79">
        <f t="shared" si="10"/>
        <v>109362.79999999997</v>
      </c>
      <c r="S8" s="79">
        <f t="shared" si="10"/>
        <v>109362.79999999997</v>
      </c>
      <c r="T8" s="79">
        <f t="shared" si="10"/>
        <v>109362.79999999997</v>
      </c>
      <c r="U8" s="79">
        <f t="shared" si="10"/>
        <v>109362.79999999997</v>
      </c>
      <c r="V8" s="79">
        <f t="shared" si="10"/>
        <v>109362.79999999997</v>
      </c>
      <c r="W8" s="79">
        <f t="shared" si="10"/>
        <v>109362.79999999997</v>
      </c>
      <c r="X8" s="79">
        <f t="shared" si="10"/>
        <v>109362.79999999997</v>
      </c>
      <c r="Y8" s="79">
        <f t="shared" si="10"/>
        <v>109362.79999999997</v>
      </c>
      <c r="Z8" s="79">
        <f t="shared" si="10"/>
        <v>109362.79999999997</v>
      </c>
      <c r="AA8" s="79">
        <f t="shared" si="10"/>
        <v>109362.79999999997</v>
      </c>
      <c r="AB8" s="79">
        <f t="shared" si="10"/>
        <v>109362.79999999997</v>
      </c>
      <c r="AC8" s="79">
        <f t="shared" si="10"/>
        <v>109362.79999999997</v>
      </c>
      <c r="AD8" s="79">
        <f t="shared" ref="AD8" si="11">AD7+AC8</f>
        <v>109362.79999999997</v>
      </c>
      <c r="AE8" s="79">
        <f t="shared" ref="AE8" si="12">AE7+AD8</f>
        <v>109362.79999999997</v>
      </c>
      <c r="AF8" s="79">
        <f t="shared" ref="AF8" si="13">AF7+AE8</f>
        <v>109362.79999999997</v>
      </c>
      <c r="AG8" s="79">
        <f t="shared" ref="AG8" si="14">AG7+AF8</f>
        <v>109362.79999999997</v>
      </c>
      <c r="AH8" s="79">
        <f t="shared" ref="AH8" si="15">AH7+AG8</f>
        <v>109362.79999999997</v>
      </c>
      <c r="AI8" s="79">
        <f t="shared" ref="AI8" si="16">AI7+AH8</f>
        <v>109362.79999999997</v>
      </c>
    </row>
    <row r="9" spans="2:36" ht="38.25" thickBot="1">
      <c r="B9" s="69" t="s">
        <v>8</v>
      </c>
      <c r="C9" s="80">
        <f>C8/8760</f>
        <v>1.1291837899543378</v>
      </c>
      <c r="D9" s="81">
        <f t="shared" ref="D9:X9" si="17">D8/8760</f>
        <v>1.1664719178082192</v>
      </c>
      <c r="E9" s="81">
        <f t="shared" si="17"/>
        <v>1.4015175799086759</v>
      </c>
      <c r="F9" s="81">
        <f t="shared" si="17"/>
        <v>1.6599650684931506</v>
      </c>
      <c r="G9" s="82">
        <f>G7/8760</f>
        <v>1.1044520547945205</v>
      </c>
      <c r="H9" s="82">
        <f>H8/8760</f>
        <v>2.349486301369863</v>
      </c>
      <c r="I9" s="82">
        <f t="shared" si="17"/>
        <v>3.3455136986301373</v>
      </c>
      <c r="J9" s="82">
        <f t="shared" si="17"/>
        <v>4.3740068493150686</v>
      </c>
      <c r="K9" s="82">
        <f t="shared" si="17"/>
        <v>5.4511986301369859</v>
      </c>
      <c r="L9" s="82">
        <f t="shared" si="17"/>
        <v>6.5283904109589042</v>
      </c>
      <c r="M9" s="82">
        <f t="shared" si="17"/>
        <v>7.6218150684931496</v>
      </c>
      <c r="N9" s="82">
        <f t="shared" si="17"/>
        <v>8.9118721461187196</v>
      </c>
      <c r="O9" s="82">
        <f t="shared" si="17"/>
        <v>10.20192922374429</v>
      </c>
      <c r="P9" s="82">
        <f t="shared" si="17"/>
        <v>11.49198630136986</v>
      </c>
      <c r="Q9" s="82">
        <f t="shared" si="17"/>
        <v>12.484337899543377</v>
      </c>
      <c r="R9" s="82">
        <f t="shared" si="17"/>
        <v>12.484337899543377</v>
      </c>
      <c r="S9" s="82">
        <f t="shared" si="17"/>
        <v>12.484337899543377</v>
      </c>
      <c r="T9" s="82">
        <f t="shared" si="17"/>
        <v>12.484337899543377</v>
      </c>
      <c r="U9" s="82">
        <f t="shared" si="17"/>
        <v>12.484337899543377</v>
      </c>
      <c r="V9" s="82">
        <f t="shared" si="17"/>
        <v>12.484337899543377</v>
      </c>
      <c r="W9" s="82">
        <f t="shared" si="17"/>
        <v>12.484337899543377</v>
      </c>
      <c r="X9" s="82">
        <f t="shared" si="17"/>
        <v>12.484337899543377</v>
      </c>
      <c r="Y9" s="82">
        <f t="shared" ref="Y9:Z9" si="18">Y8/8760</f>
        <v>12.484337899543377</v>
      </c>
      <c r="Z9" s="82">
        <f t="shared" si="18"/>
        <v>12.484337899543377</v>
      </c>
      <c r="AA9" s="82">
        <f t="shared" ref="AA9:AC9" si="19">AA8/8760</f>
        <v>12.484337899543377</v>
      </c>
      <c r="AB9" s="82">
        <f t="shared" si="19"/>
        <v>12.484337899543377</v>
      </c>
      <c r="AC9" s="82">
        <f t="shared" si="19"/>
        <v>12.484337899543377</v>
      </c>
      <c r="AD9" s="82">
        <f t="shared" ref="AD9:AI9" si="20">AD8/8760</f>
        <v>12.484337899543377</v>
      </c>
      <c r="AE9" s="82">
        <f t="shared" si="20"/>
        <v>12.484337899543377</v>
      </c>
      <c r="AF9" s="82">
        <f t="shared" si="20"/>
        <v>12.484337899543377</v>
      </c>
      <c r="AG9" s="82">
        <f t="shared" si="20"/>
        <v>12.484337899543377</v>
      </c>
      <c r="AH9" s="82">
        <f t="shared" si="20"/>
        <v>12.484337899543377</v>
      </c>
      <c r="AI9" s="82">
        <f t="shared" si="20"/>
        <v>12.484337899543377</v>
      </c>
    </row>
    <row r="10" spans="2:36" ht="19.5" thickBot="1">
      <c r="B10" s="69" t="s">
        <v>9</v>
      </c>
      <c r="C10" s="76"/>
      <c r="D10" s="77"/>
      <c r="E10" s="77"/>
      <c r="F10" s="77"/>
      <c r="G10" s="75">
        <f>G3*$D$15*(1+$H$15)^F1+(G4+G5)*$D$16*(1+$H$15)^F1</f>
        <v>560000</v>
      </c>
      <c r="H10" s="75">
        <f>H3*$D$15*(1+$H$15)^G1+(H4+H5)*$D$16*(1+$H$15)^G1</f>
        <v>615000</v>
      </c>
      <c r="I10" s="75">
        <f t="shared" ref="I10:AI10" si="21">I3*$D$15*(1+$H$15)^H1+(I4+I5)*$D$16*(1+$H$15)^H1</f>
        <v>504299.99999999994</v>
      </c>
      <c r="J10" s="75">
        <f t="shared" si="21"/>
        <v>559983.12499999988</v>
      </c>
      <c r="K10" s="75">
        <f t="shared" si="21"/>
        <v>640211.47656249988</v>
      </c>
      <c r="L10" s="75">
        <f t="shared" si="21"/>
        <v>656216.76347656222</v>
      </c>
      <c r="M10" s="75">
        <f t="shared" si="21"/>
        <v>695816.05092773412</v>
      </c>
      <c r="N10" s="75">
        <f t="shared" si="21"/>
        <v>927174.88786120573</v>
      </c>
      <c r="O10" s="75">
        <f t="shared" si="21"/>
        <v>950354.26005773584</v>
      </c>
      <c r="P10" s="75">
        <f t="shared" si="21"/>
        <v>974113.11655917903</v>
      </c>
      <c r="Q10" s="75">
        <f t="shared" si="21"/>
        <v>998465.94447315857</v>
      </c>
      <c r="R10" s="75">
        <f t="shared" si="21"/>
        <v>1023427.5930849875</v>
      </c>
      <c r="S10" s="75">
        <f t="shared" si="21"/>
        <v>1049013.2829121121</v>
      </c>
      <c r="T10" s="75">
        <f t="shared" si="21"/>
        <v>1075238.6149849149</v>
      </c>
      <c r="U10" s="75">
        <f t="shared" si="21"/>
        <v>1102119.5803595376</v>
      </c>
      <c r="V10" s="75">
        <f t="shared" si="21"/>
        <v>1129672.5698685262</v>
      </c>
      <c r="W10" s="75">
        <f t="shared" si="21"/>
        <v>1157914.3841152391</v>
      </c>
      <c r="X10" s="75">
        <f t="shared" si="21"/>
        <v>912970.95670624624</v>
      </c>
      <c r="Y10" s="75">
        <f t="shared" si="21"/>
        <v>0</v>
      </c>
      <c r="Z10" s="75">
        <f t="shared" si="21"/>
        <v>0</v>
      </c>
      <c r="AA10" s="75">
        <f t="shared" si="21"/>
        <v>0</v>
      </c>
      <c r="AB10" s="75">
        <f t="shared" si="21"/>
        <v>0</v>
      </c>
      <c r="AC10" s="108">
        <f t="shared" si="21"/>
        <v>206588.56770961158</v>
      </c>
      <c r="AD10" s="108">
        <f t="shared" si="21"/>
        <v>529383.20475587971</v>
      </c>
      <c r="AE10" s="108">
        <f t="shared" si="21"/>
        <v>542617.78487477673</v>
      </c>
      <c r="AF10" s="108">
        <f t="shared" si="21"/>
        <v>667419.87539597519</v>
      </c>
      <c r="AG10" s="108">
        <f t="shared" si="21"/>
        <v>1482228.3066085614</v>
      </c>
      <c r="AH10" s="108">
        <f t="shared" si="21"/>
        <v>1519284.0142737755</v>
      </c>
      <c r="AI10" s="108">
        <f t="shared" si="21"/>
        <v>1557266.1146306198</v>
      </c>
    </row>
    <row r="11" spans="2:36" ht="19.5" thickBot="1">
      <c r="B11" s="69" t="s">
        <v>10</v>
      </c>
      <c r="C11" s="76"/>
      <c r="D11" s="77"/>
      <c r="E11" s="77"/>
      <c r="F11" s="77"/>
      <c r="G11" s="83">
        <f>G3*$C$15*(1+$H$15)^F1+(G4+G5)*$C$16*(1+$H$15)^F1</f>
        <v>3500000</v>
      </c>
      <c r="H11" s="83">
        <f t="shared" ref="H11:AI11" si="22">H3*$C$15*(1+$H$15)^G1+(H4+H5)*$C$16*(1+$H$15)^G1</f>
        <v>3843749.9999999995</v>
      </c>
      <c r="I11" s="83">
        <f t="shared" si="22"/>
        <v>3151874.9999999995</v>
      </c>
      <c r="J11" s="83">
        <f t="shared" si="22"/>
        <v>3607583.5937499995</v>
      </c>
      <c r="K11" s="83">
        <f t="shared" si="22"/>
        <v>4277274.9511718741</v>
      </c>
      <c r="L11" s="83">
        <f t="shared" si="22"/>
        <v>4384206.82495117</v>
      </c>
      <c r="M11" s="83">
        <f t="shared" si="22"/>
        <v>4696758.343762205</v>
      </c>
      <c r="N11" s="83">
        <f t="shared" si="22"/>
        <v>6567488.7890168745</v>
      </c>
      <c r="O11" s="83">
        <f t="shared" si="22"/>
        <v>6731676.0087422952</v>
      </c>
      <c r="P11" s="83">
        <f t="shared" si="22"/>
        <v>6899967.9089608518</v>
      </c>
      <c r="Q11" s="83">
        <f t="shared" si="22"/>
        <v>7072467.1066848729</v>
      </c>
      <c r="R11" s="83">
        <f t="shared" si="22"/>
        <v>7249278.7843519943</v>
      </c>
      <c r="S11" s="83">
        <f t="shared" si="22"/>
        <v>7430510.7539607938</v>
      </c>
      <c r="T11" s="83">
        <f t="shared" si="22"/>
        <v>7616273.5228098137</v>
      </c>
      <c r="U11" s="83">
        <f t="shared" si="22"/>
        <v>7806680.3608800573</v>
      </c>
      <c r="V11" s="83">
        <f t="shared" si="22"/>
        <v>8001847.3699020604</v>
      </c>
      <c r="W11" s="83">
        <f t="shared" si="22"/>
        <v>8201893.5541496109</v>
      </c>
      <c r="X11" s="83">
        <f t="shared" si="22"/>
        <v>6466877.6100025773</v>
      </c>
      <c r="Y11" s="83">
        <f t="shared" si="22"/>
        <v>0</v>
      </c>
      <c r="Z11" s="83">
        <f t="shared" si="22"/>
        <v>0</v>
      </c>
      <c r="AA11" s="83">
        <f t="shared" si="22"/>
        <v>0</v>
      </c>
      <c r="AB11" s="83">
        <f t="shared" si="22"/>
        <v>0</v>
      </c>
      <c r="AC11" s="108">
        <f t="shared" si="22"/>
        <v>1463335.6879430821</v>
      </c>
      <c r="AD11" s="108">
        <f t="shared" si="22"/>
        <v>3749797.7003541482</v>
      </c>
      <c r="AE11" s="108">
        <f t="shared" si="22"/>
        <v>3843542.6428630017</v>
      </c>
      <c r="AF11" s="108">
        <f t="shared" si="22"/>
        <v>4727557.4507214911</v>
      </c>
      <c r="AG11" s="108">
        <f t="shared" si="22"/>
        <v>10499117.171810644</v>
      </c>
      <c r="AH11" s="108">
        <f t="shared" si="22"/>
        <v>10761595.10110591</v>
      </c>
      <c r="AI11" s="108">
        <f t="shared" si="22"/>
        <v>11030634.978633557</v>
      </c>
    </row>
    <row r="12" spans="2:36" ht="19.5" thickBot="1">
      <c r="B12" s="69" t="s">
        <v>11</v>
      </c>
      <c r="C12" s="80"/>
      <c r="D12" s="81"/>
      <c r="E12" s="81"/>
      <c r="F12" s="81"/>
      <c r="G12" s="75">
        <f>SUM(G10:G11)</f>
        <v>4060000</v>
      </c>
      <c r="H12" s="75">
        <f t="shared" ref="H12:AC12" si="23">SUM(H10:H11)</f>
        <v>4458750</v>
      </c>
      <c r="I12" s="75">
        <f t="shared" si="23"/>
        <v>3656174.9999999995</v>
      </c>
      <c r="J12" s="75">
        <f t="shared" si="23"/>
        <v>4167566.7187499995</v>
      </c>
      <c r="K12" s="75">
        <f t="shared" si="23"/>
        <v>4917486.4277343741</v>
      </c>
      <c r="L12" s="75">
        <f t="shared" si="23"/>
        <v>5040423.5884277318</v>
      </c>
      <c r="M12" s="75">
        <f t="shared" si="23"/>
        <v>5392574.394689939</v>
      </c>
      <c r="N12" s="75">
        <f t="shared" si="23"/>
        <v>7494663.6768780798</v>
      </c>
      <c r="O12" s="75">
        <f t="shared" si="23"/>
        <v>7682030.2688000314</v>
      </c>
      <c r="P12" s="75">
        <f t="shared" si="23"/>
        <v>7874081.0255200304</v>
      </c>
      <c r="Q12" s="75">
        <f t="shared" si="23"/>
        <v>8070933.0511580314</v>
      </c>
      <c r="R12" s="75">
        <f t="shared" si="23"/>
        <v>8272706.3774369815</v>
      </c>
      <c r="S12" s="75">
        <f t="shared" si="23"/>
        <v>8479524.0368729066</v>
      </c>
      <c r="T12" s="75">
        <f t="shared" si="23"/>
        <v>8691512.1377947293</v>
      </c>
      <c r="U12" s="75">
        <f t="shared" si="23"/>
        <v>8908799.9412395954</v>
      </c>
      <c r="V12" s="75">
        <f t="shared" si="23"/>
        <v>9131519.9397705868</v>
      </c>
      <c r="W12" s="75">
        <f t="shared" si="23"/>
        <v>9359807.9382648505</v>
      </c>
      <c r="X12" s="75">
        <f t="shared" si="23"/>
        <v>7379848.5667088237</v>
      </c>
      <c r="Y12" s="75">
        <f t="shared" si="23"/>
        <v>0</v>
      </c>
      <c r="Z12" s="75">
        <f t="shared" si="23"/>
        <v>0</v>
      </c>
      <c r="AA12" s="75">
        <f t="shared" si="23"/>
        <v>0</v>
      </c>
      <c r="AB12" s="75">
        <f t="shared" si="23"/>
        <v>0</v>
      </c>
      <c r="AC12" s="75">
        <f t="shared" si="23"/>
        <v>1669924.2556526936</v>
      </c>
      <c r="AD12" s="75">
        <f t="shared" ref="AD12" si="24">SUM(AD10:AD11)</f>
        <v>4279180.9051100276</v>
      </c>
      <c r="AE12" s="75">
        <f t="shared" ref="AE12" si="25">SUM(AE10:AE11)</f>
        <v>4386160.4277377781</v>
      </c>
      <c r="AF12" s="75">
        <f t="shared" ref="AF12" si="26">SUM(AF10:AF11)</f>
        <v>5394977.3261174662</v>
      </c>
      <c r="AG12" s="75">
        <f t="shared" ref="AG12" si="27">SUM(AG10:AG11)</f>
        <v>11981345.478419205</v>
      </c>
      <c r="AH12" s="75">
        <f t="shared" ref="AH12" si="28">SUM(AH10:AH11)</f>
        <v>12280879.115379686</v>
      </c>
      <c r="AI12" s="75">
        <f t="shared" ref="AI12" si="29">SUM(AI10:AI11)</f>
        <v>12587901.093264176</v>
      </c>
    </row>
    <row r="13" spans="2:36" ht="19.5" thickBot="1">
      <c r="B13" s="84"/>
    </row>
    <row r="14" spans="2:36">
      <c r="B14" s="98" t="s">
        <v>12</v>
      </c>
      <c r="C14" s="99" t="s">
        <v>13</v>
      </c>
      <c r="D14" s="99" t="s">
        <v>14</v>
      </c>
      <c r="F14" s="93"/>
      <c r="G14" s="102" t="s">
        <v>15</v>
      </c>
      <c r="H14" s="105">
        <v>6.8000000000000005E-2</v>
      </c>
    </row>
    <row r="15" spans="2:36">
      <c r="B15" s="100" t="s">
        <v>16</v>
      </c>
      <c r="C15" s="101">
        <v>250000</v>
      </c>
      <c r="D15" s="101">
        <v>40000</v>
      </c>
      <c r="F15" s="94"/>
      <c r="G15" s="103" t="s">
        <v>17</v>
      </c>
      <c r="H15" s="106">
        <v>2.5000000000000001E-2</v>
      </c>
    </row>
    <row r="16" spans="2:36">
      <c r="B16" s="100" t="s">
        <v>18</v>
      </c>
      <c r="C16" s="101">
        <v>425000</v>
      </c>
      <c r="D16" s="101">
        <v>60000</v>
      </c>
      <c r="F16" s="94"/>
      <c r="G16" s="103" t="s">
        <v>19</v>
      </c>
      <c r="H16" s="96">
        <f>NPV(H14,G8:AI8)</f>
        <v>937680.74446005851</v>
      </c>
    </row>
    <row r="17" spans="2:8">
      <c r="B17" s="85"/>
      <c r="F17" s="94"/>
      <c r="G17" s="103" t="s">
        <v>20</v>
      </c>
      <c r="H17" s="97">
        <f>NPV(H14,G12:AI12)</f>
        <v>72484960.305356354</v>
      </c>
    </row>
    <row r="18" spans="2:8" ht="19.5" thickBot="1">
      <c r="B18" s="63"/>
      <c r="F18" s="95"/>
      <c r="G18" s="104" t="s">
        <v>21</v>
      </c>
      <c r="H18" s="107">
        <f>PMT(H14,29,-H17,,)/PMT(H14,29,-H16,,)</f>
        <v>77.302387548861432</v>
      </c>
    </row>
    <row r="20" spans="2:8">
      <c r="C20" s="86"/>
    </row>
    <row r="21" spans="2:8">
      <c r="C21" s="87"/>
    </row>
    <row r="22" spans="2:8">
      <c r="C22" s="88"/>
    </row>
    <row r="23" spans="2:8">
      <c r="C23" s="89"/>
    </row>
    <row r="40" spans="3:7">
      <c r="C40" s="90"/>
      <c r="D40" s="90"/>
      <c r="E40" s="90"/>
    </row>
    <row r="41" spans="3:7">
      <c r="C41" s="90"/>
      <c r="D41" s="91"/>
      <c r="E41" s="91"/>
      <c r="F41" s="90"/>
      <c r="G41" s="90"/>
    </row>
    <row r="42" spans="3:7">
      <c r="E42" s="90"/>
      <c r="F42" s="90"/>
      <c r="G42" s="90"/>
    </row>
    <row r="43" spans="3:7">
      <c r="C43" s="90"/>
      <c r="D43" s="90"/>
      <c r="F43" s="90"/>
      <c r="G43" s="90"/>
    </row>
    <row r="44" spans="3:7">
      <c r="C44" s="90"/>
      <c r="D44" s="90"/>
    </row>
    <row r="45" spans="3:7">
      <c r="C45" s="90"/>
      <c r="D45" s="90"/>
    </row>
    <row r="46" spans="3:7">
      <c r="C46" s="90"/>
      <c r="D46" s="90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0" zoomScaleNormal="50" workbookViewId="0">
      <selection activeCell="P52" sqref="P52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9"/>
  <sheetViews>
    <sheetView topLeftCell="A25" zoomScale="60" zoomScaleNormal="60" workbookViewId="0">
      <selection activeCell="A49" sqref="A49:A51"/>
    </sheetView>
  </sheetViews>
  <sheetFormatPr defaultRowHeight="15"/>
  <sheetData>
    <row r="49" spans="1:1">
      <c r="A49" s="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G19" sqref="G19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topLeftCell="A11" workbookViewId="0">
      <selection activeCell="G30" sqref="G30"/>
    </sheetView>
  </sheetViews>
  <sheetFormatPr defaultRowHeight="15"/>
  <cols>
    <col min="1" max="1" width="13.7109375" bestFit="1" customWidth="1"/>
    <col min="2" max="2" width="9.85546875" bestFit="1" customWidth="1"/>
    <col min="3" max="3" width="7.7109375" bestFit="1" customWidth="1"/>
    <col min="4" max="4" width="10.5703125" bestFit="1" customWidth="1"/>
    <col min="5" max="5" width="10.140625" bestFit="1" customWidth="1"/>
    <col min="7" max="7" width="9.85546875" bestFit="1" customWidth="1"/>
  </cols>
  <sheetData>
    <row r="1" spans="1:7" ht="15.75" thickBot="1">
      <c r="A1" s="115" t="s">
        <v>22</v>
      </c>
      <c r="B1" s="116"/>
      <c r="C1" s="116"/>
      <c r="D1" s="116"/>
      <c r="E1" s="116"/>
      <c r="F1" s="116"/>
      <c r="G1" s="117"/>
    </row>
    <row r="2" spans="1:7" ht="60">
      <c r="A2" s="8" t="s">
        <v>23</v>
      </c>
      <c r="B2" s="37" t="s">
        <v>24</v>
      </c>
      <c r="C2" s="9" t="s">
        <v>25</v>
      </c>
      <c r="D2" s="9" t="s">
        <v>26</v>
      </c>
      <c r="E2" s="9" t="s">
        <v>27</v>
      </c>
      <c r="F2" s="9" t="s">
        <v>28</v>
      </c>
      <c r="G2" s="10" t="s">
        <v>29</v>
      </c>
    </row>
    <row r="3" spans="1:7">
      <c r="A3" s="6" t="s">
        <v>30</v>
      </c>
      <c r="B3" s="38" t="s">
        <v>31</v>
      </c>
      <c r="C3" s="4">
        <v>2013</v>
      </c>
      <c r="D3" s="20">
        <v>41579</v>
      </c>
      <c r="E3" s="5">
        <v>607569</v>
      </c>
      <c r="F3" s="19">
        <v>1.2999999999999999E-2</v>
      </c>
      <c r="G3" s="49">
        <v>21500.57</v>
      </c>
    </row>
    <row r="4" spans="1:7">
      <c r="A4" s="2" t="s">
        <v>32</v>
      </c>
      <c r="B4" s="39" t="s">
        <v>31</v>
      </c>
      <c r="C4" s="45">
        <v>2013</v>
      </c>
      <c r="D4" s="21">
        <v>41616</v>
      </c>
      <c r="E4" s="3">
        <v>357240</v>
      </c>
      <c r="F4" s="14">
        <v>8.9999999999999993E-3</v>
      </c>
      <c r="G4" s="50">
        <v>17026.259999999998</v>
      </c>
    </row>
    <row r="5" spans="1:7">
      <c r="A5" s="7" t="s">
        <v>33</v>
      </c>
      <c r="B5" s="40" t="s">
        <v>31</v>
      </c>
      <c r="C5" s="4">
        <v>2014</v>
      </c>
      <c r="D5" s="20">
        <v>41859</v>
      </c>
      <c r="E5" s="5">
        <v>859586</v>
      </c>
      <c r="F5" s="15">
        <v>1.2999999999999999E-2</v>
      </c>
      <c r="G5" s="49">
        <v>31695</v>
      </c>
    </row>
    <row r="6" spans="1:7">
      <c r="A6" s="2" t="s">
        <v>34</v>
      </c>
      <c r="B6" s="39" t="s">
        <v>31</v>
      </c>
      <c r="C6" s="45">
        <v>2014</v>
      </c>
      <c r="D6" s="21">
        <v>41978</v>
      </c>
      <c r="E6" s="3">
        <v>636197</v>
      </c>
      <c r="F6" s="14">
        <v>5.6000000000000001E-2</v>
      </c>
      <c r="G6" s="50">
        <v>15699.84</v>
      </c>
    </row>
    <row r="7" spans="1:7">
      <c r="A7" s="7" t="s">
        <v>35</v>
      </c>
      <c r="B7" s="40" t="s">
        <v>31</v>
      </c>
      <c r="C7" s="4">
        <v>2016</v>
      </c>
      <c r="D7" s="20">
        <v>42243</v>
      </c>
      <c r="E7" s="5">
        <v>804326</v>
      </c>
      <c r="F7" s="15">
        <v>1.2999999999999999E-2</v>
      </c>
      <c r="G7" s="49">
        <v>15572.91</v>
      </c>
    </row>
    <row r="8" spans="1:7">
      <c r="A8" s="2" t="s">
        <v>36</v>
      </c>
      <c r="B8" s="39" t="s">
        <v>31</v>
      </c>
      <c r="C8" s="45">
        <v>2016</v>
      </c>
      <c r="D8" s="21">
        <v>42265</v>
      </c>
      <c r="E8" s="3">
        <v>1352149</v>
      </c>
      <c r="F8" s="14">
        <v>1.4E-2</v>
      </c>
      <c r="G8" s="50">
        <v>14241.39</v>
      </c>
    </row>
    <row r="9" spans="1:7">
      <c r="A9" s="7" t="s">
        <v>37</v>
      </c>
      <c r="B9" s="40" t="s">
        <v>31</v>
      </c>
      <c r="C9" s="4">
        <v>2016</v>
      </c>
      <c r="D9" s="20">
        <v>42264</v>
      </c>
      <c r="E9" s="5">
        <v>1163150</v>
      </c>
      <c r="F9" s="15">
        <v>1.2999999999999999E-2</v>
      </c>
      <c r="G9" s="49">
        <v>9396.6</v>
      </c>
    </row>
    <row r="10" spans="1:7">
      <c r="A10" s="2" t="s">
        <v>38</v>
      </c>
      <c r="B10" s="39" t="s">
        <v>31</v>
      </c>
      <c r="C10" s="45">
        <v>2018</v>
      </c>
      <c r="D10" s="21">
        <v>43221</v>
      </c>
      <c r="E10" s="11">
        <v>768367</v>
      </c>
      <c r="F10" s="16">
        <v>1.2E-2</v>
      </c>
      <c r="G10" s="51">
        <v>17610</v>
      </c>
    </row>
    <row r="11" spans="1:7">
      <c r="A11" s="7" t="s">
        <v>39</v>
      </c>
      <c r="B11" s="40" t="s">
        <v>31</v>
      </c>
      <c r="C11" s="4">
        <v>2018</v>
      </c>
      <c r="D11" s="20">
        <v>43243</v>
      </c>
      <c r="E11" s="12">
        <v>1639803</v>
      </c>
      <c r="F11" s="17">
        <v>1.6E-2</v>
      </c>
      <c r="G11" s="52">
        <v>14638</v>
      </c>
    </row>
    <row r="12" spans="1:7">
      <c r="A12" s="2" t="s">
        <v>40</v>
      </c>
      <c r="B12" s="39" t="s">
        <v>31</v>
      </c>
      <c r="C12" s="45">
        <v>2018</v>
      </c>
      <c r="D12" s="21">
        <v>43244</v>
      </c>
      <c r="E12" s="11">
        <v>1359515</v>
      </c>
      <c r="F12" s="16">
        <v>1.4999999999999999E-2</v>
      </c>
      <c r="G12" s="51">
        <v>18956</v>
      </c>
    </row>
    <row r="13" spans="1:7">
      <c r="A13" s="26" t="s">
        <v>41</v>
      </c>
      <c r="B13" s="41" t="s">
        <v>31</v>
      </c>
      <c r="C13" s="27">
        <v>2019</v>
      </c>
      <c r="D13" s="28">
        <v>43453</v>
      </c>
      <c r="E13" s="29">
        <v>343748</v>
      </c>
      <c r="F13" s="30">
        <v>8.0000000000000002E-3</v>
      </c>
      <c r="G13" s="53">
        <v>21600</v>
      </c>
    </row>
    <row r="14" spans="1:7">
      <c r="A14" s="31" t="s">
        <v>42</v>
      </c>
      <c r="B14" s="42" t="s">
        <v>31</v>
      </c>
      <c r="C14" s="32">
        <v>2019</v>
      </c>
      <c r="D14" s="33">
        <v>43805</v>
      </c>
      <c r="E14" s="34">
        <v>326644</v>
      </c>
      <c r="F14" s="35">
        <v>0.01</v>
      </c>
      <c r="G14" s="54">
        <v>32500</v>
      </c>
    </row>
    <row r="15" spans="1:7">
      <c r="A15" s="26" t="s">
        <v>43</v>
      </c>
      <c r="B15" s="41" t="s">
        <v>31</v>
      </c>
      <c r="C15" s="27">
        <v>2020</v>
      </c>
      <c r="D15" s="28">
        <v>43977</v>
      </c>
      <c r="E15" s="29">
        <v>404699</v>
      </c>
      <c r="F15" s="30">
        <v>0.01</v>
      </c>
      <c r="G15" s="53">
        <v>45886</v>
      </c>
    </row>
    <row r="16" spans="1:7">
      <c r="A16" s="31" t="s">
        <v>44</v>
      </c>
      <c r="B16" s="42" t="s">
        <v>31</v>
      </c>
      <c r="C16" s="32">
        <v>2021</v>
      </c>
      <c r="D16" s="33">
        <v>44173</v>
      </c>
      <c r="E16" s="34">
        <v>911874</v>
      </c>
      <c r="F16" s="35">
        <v>8.9999999999999993E-3</v>
      </c>
      <c r="G16" s="54">
        <v>67578</v>
      </c>
    </row>
    <row r="17" spans="1:7">
      <c r="A17" s="26" t="s">
        <v>45</v>
      </c>
      <c r="B17" s="41" t="s">
        <v>31</v>
      </c>
      <c r="C17" s="27">
        <v>2021</v>
      </c>
      <c r="D17" s="28">
        <v>44182</v>
      </c>
      <c r="E17" s="29">
        <v>742569</v>
      </c>
      <c r="F17" s="30">
        <v>0.01</v>
      </c>
      <c r="G17" s="53">
        <v>36857</v>
      </c>
    </row>
    <row r="18" spans="1:7">
      <c r="A18" s="31" t="s">
        <v>46</v>
      </c>
      <c r="B18" s="42" t="s">
        <v>31</v>
      </c>
      <c r="C18" s="32">
        <v>2021</v>
      </c>
      <c r="D18" s="33">
        <v>44405</v>
      </c>
      <c r="E18" s="34">
        <v>597420</v>
      </c>
      <c r="F18" s="44">
        <v>0.01</v>
      </c>
      <c r="G18" s="54">
        <v>62893.17</v>
      </c>
    </row>
    <row r="19" spans="1:7">
      <c r="A19" s="7" t="s">
        <v>47</v>
      </c>
      <c r="B19" s="40" t="s">
        <v>31</v>
      </c>
      <c r="C19" s="4">
        <v>2022</v>
      </c>
      <c r="D19" s="20">
        <v>44532</v>
      </c>
      <c r="E19" s="5">
        <v>995168</v>
      </c>
      <c r="F19" s="15">
        <v>1.0999999999999999E-2</v>
      </c>
      <c r="G19" s="52">
        <v>32268</v>
      </c>
    </row>
    <row r="20" spans="1:7">
      <c r="A20" s="2" t="s">
        <v>48</v>
      </c>
      <c r="B20" s="39" t="s">
        <v>31</v>
      </c>
      <c r="C20" s="45">
        <v>2022</v>
      </c>
      <c r="D20" s="21">
        <v>44543</v>
      </c>
      <c r="E20" s="3">
        <v>671548</v>
      </c>
      <c r="F20" s="14">
        <v>1.2E-2</v>
      </c>
      <c r="G20" s="50">
        <v>31974.84</v>
      </c>
    </row>
    <row r="21" spans="1:7">
      <c r="A21" s="26" t="s">
        <v>49</v>
      </c>
      <c r="B21" s="41" t="s">
        <v>31</v>
      </c>
      <c r="C21" s="27">
        <v>2022</v>
      </c>
      <c r="D21" s="28">
        <v>44532</v>
      </c>
      <c r="E21" s="46">
        <v>505679</v>
      </c>
      <c r="F21" s="47">
        <v>8.0000000000000002E-3</v>
      </c>
      <c r="G21" s="55">
        <v>56590</v>
      </c>
    </row>
    <row r="22" spans="1:7">
      <c r="A22" s="31" t="s">
        <v>50</v>
      </c>
      <c r="B22" s="42" t="s">
        <v>31</v>
      </c>
      <c r="C22" s="32">
        <v>2022</v>
      </c>
      <c r="D22" s="33">
        <v>44515</v>
      </c>
      <c r="E22" s="48">
        <v>232538</v>
      </c>
      <c r="F22" s="44">
        <v>8.9999999999999993E-3</v>
      </c>
      <c r="G22" s="56">
        <v>16812</v>
      </c>
    </row>
    <row r="23" spans="1:7">
      <c r="A23" s="26" t="s">
        <v>51</v>
      </c>
      <c r="B23" s="41" t="s">
        <v>31</v>
      </c>
      <c r="C23" s="27">
        <v>2022</v>
      </c>
      <c r="D23" s="28">
        <v>44533</v>
      </c>
      <c r="E23" s="46">
        <v>576033</v>
      </c>
      <c r="F23" s="47">
        <v>0.01</v>
      </c>
      <c r="G23" s="52">
        <v>38169</v>
      </c>
    </row>
    <row r="24" spans="1:7">
      <c r="A24" s="23"/>
      <c r="B24" s="43"/>
      <c r="C24" s="22"/>
      <c r="D24" s="36"/>
      <c r="E24" s="13"/>
      <c r="F24" s="18"/>
      <c r="G24" s="52"/>
    </row>
    <row r="25" spans="1:7">
      <c r="A25" s="23"/>
      <c r="B25" s="43"/>
      <c r="C25" s="22"/>
      <c r="D25" s="36"/>
      <c r="E25" s="13"/>
      <c r="F25" s="18"/>
      <c r="G25" s="52"/>
    </row>
    <row r="26" spans="1:7">
      <c r="A26" s="112" t="s">
        <v>52</v>
      </c>
      <c r="B26" s="113"/>
      <c r="C26" s="114"/>
      <c r="D26" s="58">
        <v>44706</v>
      </c>
      <c r="E26" s="60">
        <v>755039.14285714284</v>
      </c>
      <c r="F26" s="61">
        <v>1.4111111111111118E-2</v>
      </c>
      <c r="G26" s="62">
        <v>29498.313333333335</v>
      </c>
    </row>
    <row r="27" spans="1:7" ht="15.75" thickBot="1">
      <c r="A27" s="109" t="s">
        <v>53</v>
      </c>
      <c r="B27" s="110"/>
      <c r="C27" s="111"/>
      <c r="D27" s="59">
        <v>44706</v>
      </c>
      <c r="E27" s="24">
        <v>15855822</v>
      </c>
      <c r="F27" s="25"/>
      <c r="G27" s="57">
        <v>619464.58000000007</v>
      </c>
    </row>
  </sheetData>
  <mergeCells count="3">
    <mergeCell ref="A27:C27"/>
    <mergeCell ref="A26:C26"/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L4"/>
  <sheetViews>
    <sheetView topLeftCell="A7" workbookViewId="0">
      <selection activeCell="P24" sqref="P24"/>
    </sheetView>
  </sheetViews>
  <sheetFormatPr defaultRowHeight="15"/>
  <sheetData>
    <row r="4" spans="12:12">
      <c r="L4" t="s">
        <v>54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c48ce0-4d89-4963-aafd-11232efce197" xsi:nil="true"/>
    <lcf76f155ced4ddcb4097134ff3c332f xmlns="cc873dea-6f09-4fe9-933a-b9017151355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A6D3C804874C43A3B32C9C349294C6" ma:contentTypeVersion="11" ma:contentTypeDescription="Create a new document." ma:contentTypeScope="" ma:versionID="d48ca9e62d4bf56aa7e8772ce2821b60">
  <xsd:schema xmlns:xsd="http://www.w3.org/2001/XMLSchema" xmlns:xs="http://www.w3.org/2001/XMLSchema" xmlns:p="http://schemas.microsoft.com/office/2006/metadata/properties" xmlns:ns2="cc873dea-6f09-4fe9-933a-b90171513557" xmlns:ns3="05c48ce0-4d89-4963-aafd-11232efce197" targetNamespace="http://schemas.microsoft.com/office/2006/metadata/properties" ma:root="true" ma:fieldsID="31e4756a3d966b4ef0e5915fca430901" ns2:_="" ns3:_="">
    <xsd:import namespace="cc873dea-6f09-4fe9-933a-b90171513557"/>
    <xsd:import namespace="05c48ce0-4d89-4963-aafd-11232efce1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73dea-6f09-4fe9-933a-b901715135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7dc18a2-e767-4186-bf39-58076ea21a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48ce0-4d89-4963-aafd-11232efce19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60020e5-ac92-4fe6-be47-48b84c4d8c1b}" ma:internalName="TaxCatchAll" ma:showField="CatchAllData" ma:web="05c48ce0-4d89-4963-aafd-11232efce1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CCB92C-91E5-44CC-B7B8-BA4E83574F09}"/>
</file>

<file path=customXml/itemProps2.xml><?xml version="1.0" encoding="utf-8"?>
<ds:datastoreItem xmlns:ds="http://schemas.openxmlformats.org/officeDocument/2006/customXml" ds:itemID="{F1633B2F-0778-48F4-9262-A35899102B44}"/>
</file>

<file path=customXml/itemProps3.xml><?xml version="1.0" encoding="utf-8"?>
<ds:datastoreItem xmlns:ds="http://schemas.openxmlformats.org/officeDocument/2006/customXml" ds:itemID="{EBF17CCD-3011-43A6-A64B-5A7A3A5D3B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Puget Sound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Singh, Gurvinder</dc:creator>
  <cp:keywords/>
  <dc:description/>
  <cp:lastModifiedBy>Mathis, Meredith</cp:lastModifiedBy>
  <cp:revision/>
  <dcterms:created xsi:type="dcterms:W3CDTF">2018-11-12T18:47:20Z</dcterms:created>
  <dcterms:modified xsi:type="dcterms:W3CDTF">2023-03-29T22:22:58Z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0x010100D2A6D3C804874C43A3B32C9C349294C6</vt:lpwstr>
  </property>
  <property fmtid="{D5CDD505-2E9C-101B-9397-08002B2CF9AE}" pid="3" name="MediaServiceImageTags">
    <vt:lpwstr/>
  </property>
</Properties>
</file>