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4-Energy Efficiency\SPEAR\7 - Strategic Initiatives\Fuel Conversion\"/>
    </mc:Choice>
  </mc:AlternateContent>
  <bookViews>
    <workbookView xWindow="0" yWindow="0" windowWidth="26856" windowHeight="11616"/>
  </bookViews>
  <sheets>
    <sheet name="Calculator " sheetId="1" r:id="rId1"/>
    <sheet name="Supporting Data Gas Energy Usag" sheetId="3" state="hidden" r:id="rId2"/>
    <sheet name="Supporting Data Rates" sheetId="2" state="hidden" r:id="rId3"/>
    <sheet name="Other Supporting Data" sheetId="4" state="hidden" r:id="rId4"/>
  </sheets>
  <externalReferences>
    <externalReference r:id="rId5"/>
  </externalReferences>
  <definedNames>
    <definedName name="efficiency4">'[1]Drop Downs'!$D$3:$D$26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9" i="1" l="1"/>
  <c r="P28" i="1"/>
  <c r="R26" i="1"/>
  <c r="R25" i="1"/>
  <c r="R23" i="1"/>
  <c r="P23" i="1"/>
  <c r="P22" i="1"/>
  <c r="R22" i="1"/>
  <c r="S29" i="1" l="1"/>
  <c r="E39" i="1"/>
  <c r="F36" i="1"/>
  <c r="E36" i="1"/>
  <c r="S23" i="1" l="1"/>
  <c r="S25" i="1"/>
  <c r="S22" i="1"/>
  <c r="E37" i="1" l="1"/>
  <c r="S28" i="1" l="1"/>
  <c r="E46" i="1" l="1"/>
  <c r="S26" i="1" s="1"/>
  <c r="D57" i="1" l="1"/>
  <c r="D55" i="1"/>
  <c r="E41" i="1"/>
  <c r="E44" i="1" l="1"/>
  <c r="E49" i="1" l="1"/>
  <c r="G39" i="1" s="1"/>
  <c r="E45" i="1"/>
  <c r="C7" i="2"/>
  <c r="E6" i="2"/>
  <c r="E5" i="2"/>
  <c r="E4" i="2"/>
  <c r="E3" i="2"/>
  <c r="D3" i="2"/>
  <c r="E50" i="1" l="1"/>
  <c r="E51" i="1" s="1"/>
  <c r="G41" i="1"/>
  <c r="S30" i="1"/>
  <c r="G30" i="1"/>
  <c r="G40" i="1" l="1"/>
  <c r="G28" i="1" s="1"/>
  <c r="G22" i="1" l="1"/>
  <c r="G26" i="1"/>
</calcChain>
</file>

<file path=xl/sharedStrings.xml><?xml version="1.0" encoding="utf-8"?>
<sst xmlns="http://schemas.openxmlformats.org/spreadsheetml/2006/main" count="119" uniqueCount="88">
  <si>
    <t>Gas System</t>
  </si>
  <si>
    <t>Utility</t>
  </si>
  <si>
    <t>% of region</t>
  </si>
  <si>
    <t>Tacoma Power</t>
  </si>
  <si>
    <t xml:space="preserve"> </t>
  </si>
  <si>
    <t>Seattle City Light</t>
  </si>
  <si>
    <t>Distribution losses from system</t>
  </si>
  <si>
    <t>PSE</t>
  </si>
  <si>
    <t>Snohomish PUD</t>
  </si>
  <si>
    <t>Total</t>
  </si>
  <si>
    <t>Electric Heat Pump Energy Star 8.5 HSPF</t>
  </si>
  <si>
    <t>Converting Therms to kWh's</t>
  </si>
  <si>
    <t>8.5 HSPF to COP</t>
  </si>
  <si>
    <t>DHP 10 HSPF to COP</t>
  </si>
  <si>
    <t>Electric Systems</t>
  </si>
  <si>
    <t>Electric Ductless Heat Pump 10 HSPF</t>
  </si>
  <si>
    <t>Average Annual Energy Cost Gas System</t>
  </si>
  <si>
    <t>RTF values for Energy Rates</t>
  </si>
  <si>
    <t>*Regional Weighted Average</t>
  </si>
  <si>
    <t>Gas usage at 100% efficiency (in therms)</t>
  </si>
  <si>
    <t>Without Distribution Losses (in therms)</t>
  </si>
  <si>
    <t>Efficiency gain for HSPF (in COP)</t>
  </si>
  <si>
    <t>Residential Customers</t>
  </si>
  <si>
    <t>Power Rate*</t>
  </si>
  <si>
    <t xml:space="preserve">Supporting data </t>
  </si>
  <si>
    <t>Therms</t>
  </si>
  <si>
    <t>HSPF</t>
  </si>
  <si>
    <t>Electric System</t>
  </si>
  <si>
    <t>DHP has no distribution losses (in kWh's)</t>
  </si>
  <si>
    <t xml:space="preserve">Heat pump energe usage 8.5 HSPF 2.49 COP </t>
  </si>
  <si>
    <t>Note: Cooling costs not calculated in any of the electric system heat pumps</t>
  </si>
  <si>
    <t>**Full heating load</t>
  </si>
  <si>
    <t>***Partial heating load 50%</t>
  </si>
  <si>
    <r>
      <t>***Estimated cost to maintain partial heating load (60</t>
    </r>
    <r>
      <rPr>
        <sz val="8"/>
        <color theme="1"/>
        <rFont val="Symbol"/>
        <family val="1"/>
        <charset val="2"/>
      </rPr>
      <t>°</t>
    </r>
    <r>
      <rPr>
        <sz val="8"/>
        <color theme="1"/>
        <rFont val="Calibri"/>
        <family val="2"/>
      </rPr>
      <t>)</t>
    </r>
  </si>
  <si>
    <t>Condensing Gas Furnace</t>
  </si>
  <si>
    <t xml:space="preserve">**Estimated cost to maintail full temperature with baseboard E </t>
  </si>
  <si>
    <t xml:space="preserve">Factor for not using DHP for whole home (80% of home)  </t>
  </si>
  <si>
    <t xml:space="preserve">*used high block rate since heating usage would take customers into that block in most cases and did not include base or basic charges </t>
  </si>
  <si>
    <t>Electric Energy Costs*</t>
  </si>
  <si>
    <t>Electric Energy Cost</t>
  </si>
  <si>
    <t xml:space="preserve">Electric Force Air Furnace </t>
  </si>
  <si>
    <t>Average Annual Energy Cost (E FAF)</t>
  </si>
  <si>
    <t>Average Annual Energy Cost (Baseboard)</t>
  </si>
  <si>
    <t>AFUE/HSPF</t>
  </si>
  <si>
    <t>kWh</t>
  </si>
  <si>
    <t>Natural Gas Forced Air Furnace</t>
  </si>
  <si>
    <t>Hydro Carbon Fuel Efficiency</t>
  </si>
  <si>
    <t>HSPF Defaults</t>
  </si>
  <si>
    <t>Existing gas furnace system efficiency (0.86 average system)</t>
  </si>
  <si>
    <t>Energy use for gas system*</t>
  </si>
  <si>
    <r>
      <t>*</t>
    </r>
    <r>
      <rPr>
        <sz val="8"/>
        <color theme="1"/>
        <rFont val="Calibri"/>
        <family val="2"/>
        <scheme val="minor"/>
      </rPr>
      <t>Some form of supplemental heat is usually required to maintain temperature for areas not covered by DHP (typically baseboad)</t>
    </r>
  </si>
  <si>
    <t>Annual Cost</t>
  </si>
  <si>
    <t>Gas Systems</t>
  </si>
  <si>
    <t>Inputs</t>
  </si>
  <si>
    <t>Existing Heat Pump Efficiency (HSPF)</t>
  </si>
  <si>
    <t>Existing Gas Furnace System Efficiency (AFUE)</t>
  </si>
  <si>
    <t>Electric Resistance/Baseboard Heat</t>
  </si>
  <si>
    <t>Electric Energy Costs (per kWh)</t>
  </si>
  <si>
    <t>Natural Gas Energy Costs (per Therm)</t>
  </si>
  <si>
    <t>Supplemental Heating Load</t>
  </si>
  <si>
    <t>Existing HP HSPF</t>
  </si>
  <si>
    <t>*Supplemental energy use for DHP (kWh)</t>
  </si>
  <si>
    <t>Heating Load</t>
  </si>
  <si>
    <t>Full heating load</t>
  </si>
  <si>
    <t>Partial heating load 50%</t>
  </si>
  <si>
    <t>Electric Heat Pump</t>
  </si>
  <si>
    <t>Average Annual Energy Cost (HP)</t>
  </si>
  <si>
    <t>Existing Gas System</t>
  </si>
  <si>
    <t>Existing Electric Systems</t>
  </si>
  <si>
    <t>New Efficienct Heat Pump</t>
  </si>
  <si>
    <t xml:space="preserve">Input Fields = </t>
  </si>
  <si>
    <t xml:space="preserve">Output Fields = </t>
  </si>
  <si>
    <t>Efficient Heat Pump</t>
  </si>
  <si>
    <t>Choose a New System</t>
  </si>
  <si>
    <t>Gas Absorption Heat Pump</t>
  </si>
  <si>
    <t>Electric Ductless Heat Pump (DHP)</t>
  </si>
  <si>
    <t>New/Existing Gas Furnace</t>
  </si>
  <si>
    <t>-</t>
  </si>
  <si>
    <t>AFUE/COP</t>
  </si>
  <si>
    <t>Dual Fuel / Hybrid Heating System*</t>
  </si>
  <si>
    <t>Total Hybrid System Costs</t>
  </si>
  <si>
    <t>Supplemental Electric Heat (% of Full Heating Load)</t>
  </si>
  <si>
    <t>Annual Home Heating Costs Calculator</t>
  </si>
  <si>
    <t xml:space="preserve">Suppl. Electric (% of Full Heating Load) </t>
  </si>
  <si>
    <r>
      <t xml:space="preserve">*Dual fuel system assumes average heat pump lockout of 40+ degrees based on observed data. Lower lockout temperatures will increase costs. Results may vary depending on local climate, customer behavior, system setup, and home attributes.
</t>
    </r>
    <r>
      <rPr>
        <b/>
        <sz val="9"/>
        <color theme="1"/>
        <rFont val="Calibri"/>
        <family val="2"/>
        <scheme val="minor"/>
      </rPr>
      <t>Note:</t>
    </r>
    <r>
      <rPr>
        <sz val="9"/>
        <color theme="1"/>
        <rFont val="Calibri"/>
        <family val="2"/>
        <scheme val="minor"/>
      </rPr>
      <t xml:space="preserve"> Cooling costs are not calculated in any of the fuel costs; local taxes are not considered and will add costs.</t>
    </r>
  </si>
  <si>
    <r>
      <rPr>
        <b/>
        <sz val="9.5"/>
        <color theme="1"/>
        <rFont val="Calibri"/>
        <family val="2"/>
        <scheme val="minor"/>
      </rPr>
      <t>Enter costs and existing efficiency information to the right.</t>
    </r>
    <r>
      <rPr>
        <i/>
        <sz val="9.5"/>
        <color theme="1"/>
        <rFont val="Calibri"/>
        <family val="2"/>
        <scheme val="minor"/>
      </rPr>
      <t xml:space="preserve">
  •  PSE Tier 2 electric rates + other charges and credits = $0.115856 per kWh; PSE cost = $1.00068 per Therm (10/2/2022; excludes local taxes).
  •  Gas furnace or heat pump actual efficiency may be less than listed due to ductwork condition, installation practices or equipment wear and tear.
  •  Usage costs based on average sized home ~ 2,000 sq. ft. in Heating Zone 1 with 2.6 occupants. Actual results may vary depending on home characteristics, occupancy, and customer behavior.
  •  Supplemental heat is often necessary for DHP/HP applications; load applies to all existing system calculations.
</t>
    </r>
  </si>
  <si>
    <t>Cost per therm  PSE</t>
  </si>
  <si>
    <t>v 2.1 | November,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</si>
</sst>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&quot;$&quot;#,##0.00"/>
    <numFmt numFmtId="165" formatCode="&quot;$&quot;#,##0"/>
    <numFmt numFmtId="166" formatCode="&quot;$&quot;#,##0.000"/>
    <numFmt numFmtId="167" formatCode="&quot;$&quot;#,##0.0000"/>
    <numFmt numFmtId="168" formatCode="0.0%"/>
    <numFmt numFmtId="169" formatCode="_(&quot;$&quot;* #,##0.000_);_(&quot;$&quot;* \(#,##0.000\);_(&quot;$&quot;* &quot;-&quot;???_);_(@_)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Symbol"/>
      <family val="1"/>
      <charset val="2"/>
    </font>
    <font>
      <sz val="8"/>
      <color theme="1"/>
      <name val="Calibri"/>
      <family val="2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149">
    <xf numFmtId="0" fontId="0" fillId="0" borderId="0" xfId="0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0" borderId="9" xfId="0" applyBorder="1"/>
    <xf numFmtId="3" fontId="0" fillId="0" borderId="10" xfId="0" applyNumberFormat="1" applyBorder="1"/>
    <xf numFmtId="0" fontId="0" fillId="0" borderId="13" xfId="0" applyBorder="1"/>
    <xf numFmtId="3" fontId="0" fillId="0" borderId="14" xfId="0" applyNumberFormat="1" applyBorder="1"/>
    <xf numFmtId="0" fontId="0" fillId="0" borderId="14" xfId="0" applyBorder="1"/>
    <xf numFmtId="0" fontId="0" fillId="0" borderId="15" xfId="0" applyBorder="1"/>
    <xf numFmtId="0" fontId="0" fillId="2" borderId="19" xfId="0" applyFill="1" applyBorder="1"/>
    <xf numFmtId="2" fontId="0" fillId="0" borderId="20" xfId="0" applyNumberFormat="1" applyBorder="1"/>
    <xf numFmtId="0" fontId="0" fillId="2" borderId="20" xfId="0" applyFill="1" applyBorder="1"/>
    <xf numFmtId="2" fontId="0" fillId="0" borderId="21" xfId="0" applyNumberFormat="1" applyBorder="1"/>
    <xf numFmtId="167" fontId="0" fillId="0" borderId="10" xfId="0" applyNumberFormat="1" applyBorder="1"/>
    <xf numFmtId="0" fontId="2" fillId="2" borderId="12" xfId="0" applyFont="1" applyFill="1" applyBorder="1"/>
    <xf numFmtId="0" fontId="1" fillId="0" borderId="12" xfId="0" applyFont="1" applyBorder="1"/>
    <xf numFmtId="0" fontId="0" fillId="0" borderId="22" xfId="0" applyFill="1" applyBorder="1"/>
    <xf numFmtId="168" fontId="0" fillId="0" borderId="11" xfId="0" applyNumberFormat="1" applyBorder="1"/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5" fillId="3" borderId="7" xfId="0" applyFont="1" applyFill="1" applyBorder="1"/>
    <xf numFmtId="0" fontId="3" fillId="3" borderId="7" xfId="0" applyFont="1" applyFill="1" applyBorder="1"/>
    <xf numFmtId="0" fontId="3" fillId="3" borderId="16" xfId="0" applyFont="1" applyFill="1" applyBorder="1"/>
    <xf numFmtId="165" fontId="0" fillId="0" borderId="10" xfId="0" applyNumberFormat="1" applyBorder="1"/>
    <xf numFmtId="0" fontId="4" fillId="3" borderId="12" xfId="0" applyFont="1" applyFill="1" applyBorder="1"/>
    <xf numFmtId="0" fontId="6" fillId="0" borderId="12" xfId="0" applyFont="1" applyBorder="1" applyAlignment="1">
      <alignment wrapText="1"/>
    </xf>
    <xf numFmtId="0" fontId="0" fillId="0" borderId="28" xfId="0" applyBorder="1"/>
    <xf numFmtId="0" fontId="0" fillId="0" borderId="12" xfId="0" applyBorder="1" applyAlignment="1">
      <alignment wrapText="1"/>
    </xf>
    <xf numFmtId="0" fontId="6" fillId="0" borderId="12" xfId="0" applyFont="1" applyBorder="1"/>
    <xf numFmtId="0" fontId="0" fillId="6" borderId="1" xfId="0" applyFill="1" applyBorder="1"/>
    <xf numFmtId="0" fontId="0" fillId="6" borderId="2" xfId="0" applyFill="1" applyBorder="1"/>
    <xf numFmtId="0" fontId="0" fillId="6" borderId="2" xfId="0" applyFill="1" applyBorder="1" applyAlignment="1">
      <alignment horizontal="center"/>
    </xf>
    <xf numFmtId="4" fontId="0" fillId="6" borderId="2" xfId="0" applyNumberFormat="1" applyFill="1" applyBorder="1" applyAlignment="1">
      <alignment horizontal="center"/>
    </xf>
    <xf numFmtId="0" fontId="0" fillId="6" borderId="3" xfId="0" applyFill="1" applyBorder="1"/>
    <xf numFmtId="0" fontId="2" fillId="2" borderId="26" xfId="0" applyFont="1" applyFill="1" applyBorder="1"/>
    <xf numFmtId="0" fontId="2" fillId="2" borderId="23" xfId="0" applyFont="1" applyFill="1" applyBorder="1"/>
    <xf numFmtId="0" fontId="0" fillId="3" borderId="20" xfId="0" applyFill="1" applyBorder="1"/>
    <xf numFmtId="164" fontId="0" fillId="3" borderId="20" xfId="0" applyNumberFormat="1" applyFill="1" applyBorder="1"/>
    <xf numFmtId="3" fontId="0" fillId="3" borderId="20" xfId="0" applyNumberFormat="1" applyFill="1" applyBorder="1"/>
    <xf numFmtId="0" fontId="0" fillId="3" borderId="21" xfId="0" applyFill="1" applyBorder="1"/>
    <xf numFmtId="0" fontId="0" fillId="0" borderId="29" xfId="0" applyBorder="1"/>
    <xf numFmtId="166" fontId="0" fillId="3" borderId="20" xfId="0" applyNumberFormat="1" applyFill="1" applyBorder="1"/>
    <xf numFmtId="3" fontId="0" fillId="3" borderId="21" xfId="0" applyNumberFormat="1" applyFill="1" applyBorder="1"/>
    <xf numFmtId="0" fontId="0" fillId="2" borderId="12" xfId="0" applyFill="1" applyBorder="1"/>
    <xf numFmtId="0" fontId="0" fillId="0" borderId="31" xfId="0" applyBorder="1"/>
    <xf numFmtId="165" fontId="0" fillId="0" borderId="31" xfId="0" applyNumberFormat="1" applyBorder="1"/>
    <xf numFmtId="0" fontId="0" fillId="2" borderId="32" xfId="0" applyFill="1" applyBorder="1"/>
    <xf numFmtId="1" fontId="0" fillId="2" borderId="33" xfId="0" applyNumberFormat="1" applyFill="1" applyBorder="1"/>
    <xf numFmtId="0" fontId="0" fillId="5" borderId="1" xfId="0" applyFill="1" applyBorder="1"/>
    <xf numFmtId="0" fontId="0" fillId="5" borderId="2" xfId="0" applyFill="1" applyBorder="1"/>
    <xf numFmtId="0" fontId="0" fillId="5" borderId="3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16" xfId="0" applyFill="1" applyBorder="1"/>
    <xf numFmtId="0" fontId="0" fillId="5" borderId="17" xfId="0" applyFill="1" applyBorder="1"/>
    <xf numFmtId="0" fontId="0" fillId="5" borderId="18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16" xfId="0" applyFill="1" applyBorder="1"/>
    <xf numFmtId="0" fontId="0" fillId="6" borderId="17" xfId="0" applyFill="1" applyBorder="1"/>
    <xf numFmtId="0" fontId="0" fillId="6" borderId="18" xfId="0" applyFill="1" applyBorder="1"/>
    <xf numFmtId="0" fontId="0" fillId="7" borderId="2" xfId="0" applyFill="1" applyBorder="1"/>
    <xf numFmtId="0" fontId="0" fillId="7" borderId="0" xfId="0" applyFill="1" applyBorder="1"/>
    <xf numFmtId="164" fontId="0" fillId="7" borderId="0" xfId="0" applyNumberFormat="1" applyFill="1" applyBorder="1"/>
    <xf numFmtId="3" fontId="0" fillId="7" borderId="0" xfId="0" applyNumberFormat="1" applyFill="1" applyBorder="1"/>
    <xf numFmtId="3" fontId="0" fillId="7" borderId="17" xfId="0" applyNumberFormat="1" applyFill="1" applyBorder="1"/>
    <xf numFmtId="0" fontId="0" fillId="7" borderId="3" xfId="0" applyFill="1" applyBorder="1"/>
    <xf numFmtId="0" fontId="0" fillId="7" borderId="8" xfId="0" applyFill="1" applyBorder="1"/>
    <xf numFmtId="164" fontId="2" fillId="7" borderId="0" xfId="0" applyNumberFormat="1" applyFont="1" applyFill="1" applyBorder="1"/>
    <xf numFmtId="0" fontId="0" fillId="7" borderId="7" xfId="0" applyFill="1" applyBorder="1"/>
    <xf numFmtId="0" fontId="3" fillId="7" borderId="0" xfId="0" applyFont="1" applyFill="1" applyBorder="1"/>
    <xf numFmtId="0" fontId="0" fillId="7" borderId="16" xfId="0" applyFill="1" applyBorder="1"/>
    <xf numFmtId="0" fontId="0" fillId="7" borderId="17" xfId="0" applyFill="1" applyBorder="1"/>
    <xf numFmtId="0" fontId="0" fillId="7" borderId="18" xfId="0" applyFill="1" applyBorder="1"/>
    <xf numFmtId="0" fontId="5" fillId="7" borderId="0" xfId="0" applyFont="1" applyFill="1" applyBorder="1"/>
    <xf numFmtId="0" fontId="0" fillId="7" borderId="1" xfId="0" applyFill="1" applyBorder="1"/>
    <xf numFmtId="0" fontId="0" fillId="7" borderId="2" xfId="0" applyFill="1" applyBorder="1" applyAlignment="1">
      <alignment horizontal="center"/>
    </xf>
    <xf numFmtId="4" fontId="0" fillId="7" borderId="2" xfId="0" applyNumberFormat="1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4" fontId="0" fillId="7" borderId="17" xfId="0" applyNumberFormat="1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3" fillId="7" borderId="17" xfId="0" applyFont="1" applyFill="1" applyBorder="1" applyAlignment="1">
      <alignment wrapText="1"/>
    </xf>
    <xf numFmtId="0" fontId="0" fillId="3" borderId="0" xfId="0" applyFill="1" applyBorder="1"/>
    <xf numFmtId="0" fontId="0" fillId="3" borderId="0" xfId="0" applyFill="1"/>
    <xf numFmtId="0" fontId="0" fillId="3" borderId="0" xfId="0" applyFill="1" applyAlignment="1">
      <alignment horizontal="center"/>
    </xf>
    <xf numFmtId="4" fontId="0" fillId="3" borderId="0" xfId="0" applyNumberFormat="1" applyFill="1" applyAlignment="1">
      <alignment horizontal="center"/>
    </xf>
    <xf numFmtId="0" fontId="0" fillId="3" borderId="0" xfId="0" applyFill="1" applyBorder="1" applyAlignment="1">
      <alignment horizontal="center"/>
    </xf>
    <xf numFmtId="0" fontId="9" fillId="3" borderId="0" xfId="0" applyFont="1" applyFill="1"/>
    <xf numFmtId="0" fontId="6" fillId="3" borderId="0" xfId="0" applyFont="1" applyFill="1" applyBorder="1"/>
    <xf numFmtId="0" fontId="0" fillId="6" borderId="0" xfId="0" applyFill="1" applyBorder="1"/>
    <xf numFmtId="0" fontId="0" fillId="6" borderId="0" xfId="0" applyFill="1" applyBorder="1" applyAlignment="1">
      <alignment horizontal="center"/>
    </xf>
    <xf numFmtId="4" fontId="0" fillId="6" borderId="0" xfId="0" applyNumberFormat="1" applyFill="1" applyBorder="1" applyAlignment="1">
      <alignment horizontal="center"/>
    </xf>
    <xf numFmtId="4" fontId="0" fillId="3" borderId="0" xfId="0" applyNumberFormat="1" applyFill="1" applyBorder="1" applyAlignment="1">
      <alignment horizontal="center"/>
    </xf>
    <xf numFmtId="3" fontId="0" fillId="3" borderId="0" xfId="0" applyNumberFormat="1" applyFill="1"/>
    <xf numFmtId="0" fontId="0" fillId="3" borderId="7" xfId="0" applyFill="1" applyBorder="1" applyAlignment="1">
      <alignment horizontal="center"/>
    </xf>
    <xf numFmtId="2" fontId="0" fillId="3" borderId="20" xfId="0" applyNumberFormat="1" applyFill="1" applyBorder="1"/>
    <xf numFmtId="1" fontId="0" fillId="3" borderId="20" xfId="0" applyNumberFormat="1" applyFill="1" applyBorder="1"/>
    <xf numFmtId="0" fontId="10" fillId="3" borderId="0" xfId="0" applyFont="1" applyFill="1" applyBorder="1"/>
    <xf numFmtId="0" fontId="10" fillId="3" borderId="0" xfId="0" applyFont="1" applyFill="1"/>
    <xf numFmtId="0" fontId="4" fillId="2" borderId="23" xfId="0" applyFont="1" applyFill="1" applyBorder="1" applyAlignment="1">
      <alignment vertical="center"/>
    </xf>
    <xf numFmtId="0" fontId="0" fillId="2" borderId="24" xfId="0" applyFill="1" applyBorder="1" applyAlignment="1">
      <alignment horizontal="center" vertical="center"/>
    </xf>
    <xf numFmtId="0" fontId="0" fillId="2" borderId="24" xfId="0" applyFill="1" applyBorder="1" applyAlignment="1">
      <alignment vertical="center"/>
    </xf>
    <xf numFmtId="1" fontId="0" fillId="2" borderId="24" xfId="0" applyNumberFormat="1" applyFill="1" applyBorder="1" applyAlignment="1">
      <alignment horizontal="center" vertical="center"/>
    </xf>
    <xf numFmtId="165" fontId="0" fillId="2" borderId="25" xfId="0" applyNumberFormat="1" applyFont="1" applyFill="1" applyBorder="1" applyAlignment="1">
      <alignment horizontal="center" vertical="center"/>
    </xf>
    <xf numFmtId="0" fontId="0" fillId="3" borderId="23" xfId="0" applyFont="1" applyFill="1" applyBorder="1" applyAlignment="1">
      <alignment vertical="center"/>
    </xf>
    <xf numFmtId="0" fontId="0" fillId="3" borderId="24" xfId="0" applyFill="1" applyBorder="1" applyAlignment="1">
      <alignment horizontal="center" vertical="center"/>
    </xf>
    <xf numFmtId="0" fontId="0" fillId="3" borderId="24" xfId="0" applyFill="1" applyBorder="1" applyAlignment="1">
      <alignment vertical="center"/>
    </xf>
    <xf numFmtId="1" fontId="0" fillId="3" borderId="24" xfId="0" applyNumberFormat="1" applyFill="1" applyBorder="1" applyAlignment="1">
      <alignment horizontal="center" vertical="center"/>
    </xf>
    <xf numFmtId="165" fontId="2" fillId="4" borderId="12" xfId="0" applyNumberFormat="1" applyFont="1" applyFill="1" applyBorder="1" applyAlignment="1">
      <alignment horizontal="center" vertical="center"/>
    </xf>
    <xf numFmtId="4" fontId="0" fillId="2" borderId="25" xfId="0" applyNumberFormat="1" applyFill="1" applyBorder="1" applyAlignment="1">
      <alignment horizontal="center" vertical="center"/>
    </xf>
    <xf numFmtId="3" fontId="0" fillId="3" borderId="24" xfId="0" applyNumberFormat="1" applyFill="1" applyBorder="1" applyAlignment="1">
      <alignment horizontal="center" vertical="center"/>
    </xf>
    <xf numFmtId="0" fontId="1" fillId="3" borderId="23" xfId="0" applyFont="1" applyFill="1" applyBorder="1" applyAlignment="1">
      <alignment vertical="center"/>
    </xf>
    <xf numFmtId="0" fontId="0" fillId="7" borderId="29" xfId="0" applyFill="1" applyBorder="1"/>
    <xf numFmtId="0" fontId="0" fillId="7" borderId="24" xfId="0" applyFill="1" applyBorder="1"/>
    <xf numFmtId="0" fontId="2" fillId="8" borderId="12" xfId="0" applyFont="1" applyFill="1" applyBorder="1" applyAlignment="1">
      <alignment vertical="center"/>
    </xf>
    <xf numFmtId="0" fontId="0" fillId="8" borderId="12" xfId="0" applyFill="1" applyBorder="1" applyAlignment="1">
      <alignment horizontal="center" vertical="center"/>
    </xf>
    <xf numFmtId="0" fontId="1" fillId="0" borderId="12" xfId="0" applyFont="1" applyBorder="1" applyAlignment="1">
      <alignment vertical="center"/>
    </xf>
    <xf numFmtId="0" fontId="0" fillId="7" borderId="0" xfId="0" applyFill="1" applyBorder="1" applyAlignment="1">
      <alignment vertical="center"/>
    </xf>
    <xf numFmtId="169" fontId="2" fillId="8" borderId="12" xfId="0" applyNumberFormat="1" applyFont="1" applyFill="1" applyBorder="1" applyAlignment="1">
      <alignment vertical="center"/>
    </xf>
    <xf numFmtId="9" fontId="2" fillId="8" borderId="12" xfId="2" applyFont="1" applyFill="1" applyBorder="1" applyAlignment="1">
      <alignment vertical="center"/>
    </xf>
    <xf numFmtId="9" fontId="0" fillId="0" borderId="0" xfId="2" applyFont="1"/>
    <xf numFmtId="0" fontId="0" fillId="9" borderId="29" xfId="0" applyFill="1" applyBorder="1"/>
    <xf numFmtId="0" fontId="0" fillId="9" borderId="27" xfId="0" applyFill="1" applyBorder="1"/>
    <xf numFmtId="0" fontId="1" fillId="0" borderId="30" xfId="0" applyFont="1" applyFill="1" applyBorder="1"/>
    <xf numFmtId="169" fontId="0" fillId="0" borderId="27" xfId="0" applyNumberFormat="1" applyFill="1" applyBorder="1"/>
    <xf numFmtId="0" fontId="2" fillId="7" borderId="2" xfId="0" applyFont="1" applyFill="1" applyBorder="1"/>
    <xf numFmtId="0" fontId="1" fillId="7" borderId="0" xfId="0" applyFont="1" applyFill="1" applyBorder="1" applyAlignment="1">
      <alignment vertical="center"/>
    </xf>
    <xf numFmtId="169" fontId="2" fillId="7" borderId="0" xfId="0" applyNumberFormat="1" applyFont="1" applyFill="1" applyBorder="1" applyAlignment="1">
      <alignment vertical="center"/>
    </xf>
    <xf numFmtId="0" fontId="9" fillId="5" borderId="2" xfId="0" applyFont="1" applyFill="1" applyBorder="1"/>
    <xf numFmtId="0" fontId="9" fillId="5" borderId="17" xfId="0" applyFont="1" applyFill="1" applyBorder="1"/>
    <xf numFmtId="0" fontId="1" fillId="5" borderId="17" xfId="0" applyFont="1" applyFill="1" applyBorder="1"/>
    <xf numFmtId="0" fontId="9" fillId="7" borderId="2" xfId="0" applyFont="1" applyFill="1" applyBorder="1"/>
    <xf numFmtId="0" fontId="9" fillId="7" borderId="17" xfId="0" applyFont="1" applyFill="1" applyBorder="1"/>
    <xf numFmtId="0" fontId="1" fillId="7" borderId="17" xfId="0" applyFont="1" applyFill="1" applyBorder="1"/>
    <xf numFmtId="0" fontId="1" fillId="3" borderId="0" xfId="0" applyFont="1" applyFill="1" applyAlignment="1">
      <alignment horizontal="right" vertical="center"/>
    </xf>
    <xf numFmtId="1" fontId="0" fillId="3" borderId="24" xfId="1" applyNumberFormat="1" applyFont="1" applyFill="1" applyBorder="1" applyAlignment="1">
      <alignment horizontal="center" vertical="center"/>
    </xf>
    <xf numFmtId="9" fontId="2" fillId="8" borderId="12" xfId="2" applyFont="1" applyFill="1" applyBorder="1" applyAlignment="1">
      <alignment horizontal="center" vertical="center"/>
    </xf>
    <xf numFmtId="0" fontId="4" fillId="3" borderId="0" xfId="0" applyFont="1" applyFill="1"/>
    <xf numFmtId="0" fontId="3" fillId="3" borderId="2" xfId="0" applyFont="1" applyFill="1" applyBorder="1" applyAlignment="1">
      <alignment horizontal="left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11" fillId="3" borderId="0" xfId="0" applyFont="1" applyFill="1" applyAlignment="1">
      <alignment horizontal="center"/>
    </xf>
    <xf numFmtId="0" fontId="13" fillId="3" borderId="26" xfId="0" applyFont="1" applyFill="1" applyBorder="1" applyAlignment="1">
      <alignment horizontal="left" vertical="top" wrapText="1"/>
    </xf>
    <xf numFmtId="0" fontId="13" fillId="3" borderId="29" xfId="0" applyFont="1" applyFill="1" applyBorder="1" applyAlignment="1">
      <alignment horizontal="left" vertical="top" wrapText="1"/>
    </xf>
    <xf numFmtId="0" fontId="13" fillId="3" borderId="27" xfId="0" applyFont="1" applyFill="1" applyBorder="1" applyAlignment="1">
      <alignment horizontal="left" vertical="top" wrapText="1"/>
    </xf>
    <xf numFmtId="0" fontId="1" fillId="3" borderId="23" xfId="0" applyFont="1" applyFill="1" applyBorder="1" applyAlignment="1">
      <alignment horizontal="center" vertical="center"/>
    </xf>
    <xf numFmtId="0" fontId="1" fillId="3" borderId="24" xfId="0" applyFont="1" applyFill="1" applyBorder="1" applyAlignment="1">
      <alignment horizontal="center" vertical="center"/>
    </xf>
    <xf numFmtId="0" fontId="1" fillId="3" borderId="25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66FFFF"/>
      <color rgb="FF00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274319</xdr:colOff>
      <xdr:row>2</xdr:row>
      <xdr:rowOff>114302</xdr:rowOff>
    </xdr:from>
    <xdr:to>
      <xdr:col>18</xdr:col>
      <xdr:colOff>822960</xdr:colOff>
      <xdr:row>7</xdr:row>
      <xdr:rowOff>100904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41279" y="525782"/>
          <a:ext cx="5638801" cy="8933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33</xdr:row>
      <xdr:rowOff>0</xdr:rowOff>
    </xdr:from>
    <xdr:to>
      <xdr:col>17</xdr:col>
      <xdr:colOff>456000</xdr:colOff>
      <xdr:row>61</xdr:row>
      <xdr:rowOff>132667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7810500"/>
          <a:ext cx="9600000" cy="54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6</xdr:row>
      <xdr:rowOff>9525</xdr:rowOff>
    </xdr:from>
    <xdr:to>
      <xdr:col>18</xdr:col>
      <xdr:colOff>28574</xdr:colOff>
      <xdr:row>27</xdr:row>
      <xdr:rowOff>9525</xdr:rowOff>
    </xdr:to>
    <xdr:pic>
      <xdr:nvPicPr>
        <xdr:cNvPr id="8" name="Picture 7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49" y="1152525"/>
          <a:ext cx="9763125" cy="4000500"/>
        </a:xfrm>
        <a:prstGeom prst="rect">
          <a:avLst/>
        </a:prstGeom>
      </xdr:spPr>
    </xdr:pic>
    <xdr:clientData/>
  </xdr:twoCellAnchor>
  <xdr:twoCellAnchor>
    <xdr:from>
      <xdr:col>13</xdr:col>
      <xdr:colOff>314325</xdr:colOff>
      <xdr:row>15</xdr:row>
      <xdr:rowOff>38100</xdr:rowOff>
    </xdr:from>
    <xdr:to>
      <xdr:col>18</xdr:col>
      <xdr:colOff>371475</xdr:colOff>
      <xdr:row>17</xdr:row>
      <xdr:rowOff>9525</xdr:rowOff>
    </xdr:to>
    <xdr:cxnSp macro="">
      <xdr:nvCxnSpPr>
        <xdr:cNvPr id="3" name="Straight Arrow Connector 2"/>
        <xdr:cNvCxnSpPr/>
      </xdr:nvCxnSpPr>
      <xdr:spPr>
        <a:xfrm flipH="1">
          <a:off x="8239125" y="2895600"/>
          <a:ext cx="3105150" cy="352425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561975</xdr:colOff>
      <xdr:row>24</xdr:row>
      <xdr:rowOff>180976</xdr:rowOff>
    </xdr:from>
    <xdr:to>
      <xdr:col>13</xdr:col>
      <xdr:colOff>247650</xdr:colOff>
      <xdr:row>52</xdr:row>
      <xdr:rowOff>123825</xdr:rowOff>
    </xdr:to>
    <xdr:cxnSp macro="">
      <xdr:nvCxnSpPr>
        <xdr:cNvPr id="12" name="Straight Arrow Connector 11"/>
        <xdr:cNvCxnSpPr/>
      </xdr:nvCxnSpPr>
      <xdr:spPr>
        <a:xfrm flipV="1">
          <a:off x="6657975" y="4752976"/>
          <a:ext cx="1514475" cy="5276849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64</xdr:row>
      <xdr:rowOff>0</xdr:rowOff>
    </xdr:from>
    <xdr:to>
      <xdr:col>13</xdr:col>
      <xdr:colOff>161925</xdr:colOff>
      <xdr:row>75</xdr:row>
      <xdr:rowOff>47625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192000"/>
          <a:ext cx="6867525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14</xdr:col>
      <xdr:colOff>38100</xdr:colOff>
      <xdr:row>107</xdr:row>
      <xdr:rowOff>47625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668500"/>
          <a:ext cx="7353300" cy="576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8</xdr:col>
      <xdr:colOff>93686</xdr:colOff>
      <xdr:row>33</xdr:row>
      <xdr:rowOff>8881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33525"/>
          <a:ext cx="6113486" cy="458088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16</xdr:col>
      <xdr:colOff>399185</xdr:colOff>
      <xdr:row>33</xdr:row>
      <xdr:rowOff>161925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67525" y="1533525"/>
          <a:ext cx="4666385" cy="4733925"/>
        </a:xfrm>
        <a:prstGeom prst="rect">
          <a:avLst/>
        </a:prstGeom>
      </xdr:spPr>
    </xdr:pic>
    <xdr:clientData/>
  </xdr:twoCellAnchor>
  <xdr:twoCellAnchor editAs="oneCell">
    <xdr:from>
      <xdr:col>8</xdr:col>
      <xdr:colOff>487024</xdr:colOff>
      <xdr:row>37</xdr:row>
      <xdr:rowOff>114300</xdr:rowOff>
    </xdr:from>
    <xdr:to>
      <xdr:col>16</xdr:col>
      <xdr:colOff>481343</xdr:colOff>
      <xdr:row>56</xdr:row>
      <xdr:rowOff>18178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21149" y="7181850"/>
          <a:ext cx="4871119" cy="3523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172772</xdr:rowOff>
    </xdr:from>
    <xdr:to>
      <xdr:col>8</xdr:col>
      <xdr:colOff>47625</xdr:colOff>
      <xdr:row>59</xdr:row>
      <xdr:rowOff>37193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668822"/>
          <a:ext cx="6381750" cy="462692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55</xdr:row>
      <xdr:rowOff>0</xdr:rowOff>
    </xdr:from>
    <xdr:to>
      <xdr:col>17</xdr:col>
      <xdr:colOff>372765</xdr:colOff>
      <xdr:row>78</xdr:row>
      <xdr:rowOff>142177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57925" y="10296525"/>
          <a:ext cx="5859165" cy="4523677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46</xdr:row>
      <xdr:rowOff>95250</xdr:rowOff>
    </xdr:from>
    <xdr:to>
      <xdr:col>13</xdr:col>
      <xdr:colOff>161925</xdr:colOff>
      <xdr:row>48</xdr:row>
      <xdr:rowOff>76200</xdr:rowOff>
    </xdr:to>
    <xdr:cxnSp macro="">
      <xdr:nvCxnSpPr>
        <xdr:cNvPr id="11" name="Straight Arrow Connector 10"/>
        <xdr:cNvCxnSpPr/>
      </xdr:nvCxnSpPr>
      <xdr:spPr>
        <a:xfrm flipH="1">
          <a:off x="9077325" y="8877300"/>
          <a:ext cx="466725" cy="36195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133350</xdr:colOff>
      <xdr:row>10</xdr:row>
      <xdr:rowOff>123825</xdr:rowOff>
    </xdr:from>
    <xdr:to>
      <xdr:col>12</xdr:col>
      <xdr:colOff>142875</xdr:colOff>
      <xdr:row>13</xdr:row>
      <xdr:rowOff>152400</xdr:rowOff>
    </xdr:to>
    <xdr:cxnSp macro="">
      <xdr:nvCxnSpPr>
        <xdr:cNvPr id="13" name="Straight Arrow Connector 12"/>
        <xdr:cNvCxnSpPr/>
      </xdr:nvCxnSpPr>
      <xdr:spPr>
        <a:xfrm flipH="1">
          <a:off x="8296275" y="2047875"/>
          <a:ext cx="619125" cy="600075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5</xdr:row>
      <xdr:rowOff>37418</xdr:rowOff>
    </xdr:from>
    <xdr:to>
      <xdr:col>19</xdr:col>
      <xdr:colOff>7845</xdr:colOff>
      <xdr:row>36</xdr:row>
      <xdr:rowOff>1038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989918"/>
          <a:ext cx="11390220" cy="58767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9</xdr:col>
      <xdr:colOff>370801</xdr:colOff>
      <xdr:row>54</xdr:row>
      <xdr:rowOff>133024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7810500"/>
          <a:ext cx="5390476" cy="2609524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41</xdr:row>
      <xdr:rowOff>38100</xdr:rowOff>
    </xdr:from>
    <xdr:to>
      <xdr:col>22</xdr:col>
      <xdr:colOff>27780</xdr:colOff>
      <xdr:row>54</xdr:row>
      <xdr:rowOff>37790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9950" y="7848600"/>
          <a:ext cx="6361905" cy="24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-Energy%20Efficiency/SPEAR/7%20-%20Strategic%20Initiatives/CETA-Decarb/Hybrid%20Heat%20Pumps/FuelCostCalculator_9.06.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ost Comparison PSE"/>
      <sheetName val="Drop Downs"/>
      <sheetName val="Utility Information"/>
      <sheetName val="Compatibility Report"/>
      <sheetName val="benefits"/>
    </sheetNames>
    <sheetDataSet>
      <sheetData sheetId="0"/>
      <sheetData sheetId="1"/>
      <sheetData sheetId="2">
        <row r="3">
          <cell r="D3">
            <v>70</v>
          </cell>
        </row>
        <row r="4">
          <cell r="D4">
            <v>76</v>
          </cell>
        </row>
        <row r="5">
          <cell r="D5">
            <v>77</v>
          </cell>
        </row>
        <row r="6">
          <cell r="D6">
            <v>78</v>
          </cell>
        </row>
        <row r="7">
          <cell r="D7">
            <v>79</v>
          </cell>
        </row>
        <row r="8">
          <cell r="D8">
            <v>80</v>
          </cell>
        </row>
        <row r="9">
          <cell r="D9">
            <v>81</v>
          </cell>
        </row>
        <row r="10">
          <cell r="D10">
            <v>82</v>
          </cell>
        </row>
        <row r="11">
          <cell r="D11">
            <v>83</v>
          </cell>
        </row>
        <row r="12">
          <cell r="D12">
            <v>84</v>
          </cell>
        </row>
        <row r="13">
          <cell r="D13">
            <v>85</v>
          </cell>
        </row>
        <row r="14">
          <cell r="D14">
            <v>86</v>
          </cell>
        </row>
        <row r="15">
          <cell r="D15">
            <v>87</v>
          </cell>
        </row>
        <row r="16">
          <cell r="D16">
            <v>88</v>
          </cell>
        </row>
        <row r="17">
          <cell r="D17">
            <v>89</v>
          </cell>
        </row>
        <row r="18">
          <cell r="D18">
            <v>90</v>
          </cell>
        </row>
        <row r="19">
          <cell r="D19">
            <v>91</v>
          </cell>
        </row>
        <row r="20">
          <cell r="D20">
            <v>92</v>
          </cell>
        </row>
        <row r="21">
          <cell r="D21">
            <v>93</v>
          </cell>
        </row>
        <row r="22">
          <cell r="D22">
            <v>94</v>
          </cell>
        </row>
        <row r="23">
          <cell r="D23">
            <v>95</v>
          </cell>
        </row>
        <row r="24">
          <cell r="D24">
            <v>96</v>
          </cell>
        </row>
        <row r="25">
          <cell r="D25">
            <v>97</v>
          </cell>
        </row>
        <row r="26">
          <cell r="D26">
            <v>150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89"/>
  <sheetViews>
    <sheetView tabSelected="1" zoomScaleNormal="100" workbookViewId="0">
      <selection activeCell="F3" sqref="F3"/>
    </sheetView>
  </sheetViews>
  <sheetFormatPr defaultRowHeight="14.4" x14ac:dyDescent="0.3"/>
  <cols>
    <col min="1" max="1" width="2.6640625" customWidth="1"/>
    <col min="2" max="3" width="1.77734375" customWidth="1"/>
    <col min="4" max="4" width="59.33203125" customWidth="1"/>
    <col min="5" max="5" width="7.6640625" customWidth="1"/>
    <col min="6" max="6" width="50.77734375" customWidth="1"/>
    <col min="7" max="7" width="12.109375" customWidth="1"/>
    <col min="8" max="8" width="1.77734375" customWidth="1"/>
    <col min="9" max="9" width="1.77734375" style="21" customWidth="1"/>
    <col min="10" max="10" width="2.109375" style="21" customWidth="1"/>
    <col min="11" max="11" width="1.77734375" style="21" customWidth="1"/>
    <col min="12" max="12" width="1.77734375" customWidth="1"/>
    <col min="13" max="13" width="38.109375" customWidth="1"/>
    <col min="14" max="14" width="10.5546875" style="20" customWidth="1"/>
    <col min="15" max="15" width="1.5546875" customWidth="1"/>
    <col min="16" max="16" width="11" style="20" customWidth="1"/>
    <col min="17" max="17" width="2" customWidth="1"/>
    <col min="18" max="18" width="11" customWidth="1"/>
    <col min="19" max="19" width="12.44140625" style="19" customWidth="1"/>
    <col min="20" max="21" width="1.77734375" customWidth="1"/>
  </cols>
  <sheetData>
    <row r="1" spans="1:38" ht="8.25" customHeight="1" x14ac:dyDescent="0.3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6"/>
      <c r="O1" s="85"/>
      <c r="P1" s="86"/>
      <c r="Q1" s="85"/>
      <c r="R1" s="85"/>
      <c r="S1" s="87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</row>
    <row r="2" spans="1:38" ht="24.75" customHeight="1" x14ac:dyDescent="0.5">
      <c r="A2" s="85"/>
      <c r="B2" s="85"/>
      <c r="D2" s="89" t="s">
        <v>82</v>
      </c>
      <c r="F2" s="139" t="s">
        <v>87</v>
      </c>
      <c r="G2" s="85"/>
      <c r="H2" s="85"/>
      <c r="I2" s="85"/>
      <c r="J2" s="85"/>
      <c r="K2" s="85"/>
      <c r="L2" s="85"/>
      <c r="M2" s="85"/>
      <c r="N2" s="86"/>
      <c r="O2" s="85"/>
      <c r="P2" s="86"/>
      <c r="Q2" s="85"/>
      <c r="R2" s="85"/>
      <c r="S2" s="87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</row>
    <row r="3" spans="1:38" ht="15" customHeight="1" thickBot="1" x14ac:dyDescent="0.55000000000000004">
      <c r="A3" s="85"/>
      <c r="B3" s="85"/>
      <c r="C3" s="85"/>
      <c r="D3" s="89"/>
      <c r="E3" s="85"/>
      <c r="F3" s="85"/>
      <c r="G3" s="85"/>
      <c r="H3" s="85"/>
      <c r="I3" s="85"/>
      <c r="J3" s="85"/>
      <c r="K3" s="85"/>
      <c r="L3" s="85"/>
      <c r="M3" s="85"/>
      <c r="N3" s="86"/>
      <c r="O3" s="85"/>
      <c r="P3" s="86"/>
      <c r="Q3" s="85"/>
      <c r="R3" s="85"/>
      <c r="S3" s="87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</row>
    <row r="4" spans="1:38" ht="10.050000000000001" customHeight="1" thickBot="1" x14ac:dyDescent="0.55000000000000004">
      <c r="A4" s="85"/>
      <c r="B4" s="50"/>
      <c r="C4" s="51"/>
      <c r="D4" s="130"/>
      <c r="E4" s="51"/>
      <c r="F4" s="51"/>
      <c r="G4" s="51"/>
      <c r="H4" s="51"/>
      <c r="I4" s="52"/>
      <c r="J4" s="85"/>
      <c r="K4" s="85"/>
      <c r="L4" s="85"/>
      <c r="M4" s="85"/>
      <c r="N4" s="86"/>
      <c r="O4" s="85"/>
      <c r="P4" s="86"/>
      <c r="Q4" s="85"/>
      <c r="R4" s="85"/>
      <c r="S4" s="87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</row>
    <row r="5" spans="1:38" ht="10.050000000000001" customHeight="1" thickBot="1" x14ac:dyDescent="0.55000000000000004">
      <c r="A5" s="85"/>
      <c r="B5" s="53"/>
      <c r="C5" s="77"/>
      <c r="D5" s="133"/>
      <c r="E5" s="63"/>
      <c r="F5" s="63"/>
      <c r="G5" s="63"/>
      <c r="H5" s="68"/>
      <c r="I5" s="54"/>
      <c r="J5" s="85"/>
      <c r="K5" s="85"/>
      <c r="L5" s="85"/>
      <c r="M5" s="85"/>
      <c r="N5" s="86"/>
      <c r="O5" s="85"/>
      <c r="P5" s="86"/>
      <c r="Q5" s="85"/>
      <c r="R5" s="85"/>
      <c r="S5" s="87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</row>
    <row r="6" spans="1:38" ht="18.600000000000001" customHeight="1" thickBot="1" x14ac:dyDescent="0.4">
      <c r="A6" s="85"/>
      <c r="B6" s="53"/>
      <c r="C6" s="71"/>
      <c r="D6" s="15" t="s">
        <v>53</v>
      </c>
      <c r="E6" s="64"/>
      <c r="F6" s="118" t="s">
        <v>57</v>
      </c>
      <c r="G6" s="120">
        <v>0.115856</v>
      </c>
      <c r="H6" s="69"/>
      <c r="I6" s="54"/>
      <c r="J6" s="85"/>
      <c r="K6" s="85"/>
      <c r="L6" s="85"/>
      <c r="M6" s="85"/>
      <c r="N6" s="86"/>
      <c r="O6" s="85"/>
      <c r="P6" s="86"/>
      <c r="Q6" s="85"/>
      <c r="R6" s="85"/>
      <c r="S6" s="87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</row>
    <row r="7" spans="1:38" ht="18.600000000000001" customHeight="1" thickBot="1" x14ac:dyDescent="0.4">
      <c r="A7" s="85"/>
      <c r="B7" s="53"/>
      <c r="C7" s="71"/>
      <c r="D7" s="127"/>
      <c r="E7" s="64"/>
      <c r="F7" s="128"/>
      <c r="G7" s="129"/>
      <c r="H7" s="69"/>
      <c r="I7" s="54"/>
      <c r="J7" s="85"/>
      <c r="K7" s="85"/>
      <c r="L7" s="85"/>
      <c r="M7" s="85"/>
      <c r="N7" s="86"/>
      <c r="O7" s="85"/>
      <c r="P7" s="86"/>
      <c r="Q7" s="85"/>
      <c r="R7" s="85"/>
      <c r="S7" s="87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</row>
    <row r="8" spans="1:38" ht="18.600000000000001" customHeight="1" thickBot="1" x14ac:dyDescent="0.35">
      <c r="A8" s="85"/>
      <c r="B8" s="53"/>
      <c r="C8" s="71"/>
      <c r="D8" s="143" t="s">
        <v>85</v>
      </c>
      <c r="E8" s="64"/>
      <c r="F8" s="118" t="s">
        <v>58</v>
      </c>
      <c r="G8" s="120">
        <v>1.14012</v>
      </c>
      <c r="H8" s="69"/>
      <c r="I8" s="54"/>
      <c r="J8" s="85"/>
      <c r="K8" s="85"/>
      <c r="L8" s="85"/>
      <c r="M8" s="85"/>
      <c r="N8" s="86"/>
      <c r="O8" s="85"/>
      <c r="P8" s="86"/>
      <c r="Q8" s="85"/>
      <c r="R8" s="85"/>
      <c r="S8" s="87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</row>
    <row r="9" spans="1:38" ht="18.600000000000001" customHeight="1" thickBot="1" x14ac:dyDescent="0.35">
      <c r="A9" s="85"/>
      <c r="B9" s="53"/>
      <c r="C9" s="71"/>
      <c r="D9" s="144"/>
      <c r="E9" s="64"/>
      <c r="F9" s="128"/>
      <c r="G9" s="119"/>
      <c r="H9" s="69"/>
      <c r="I9" s="54"/>
      <c r="J9" s="85"/>
      <c r="K9" s="85"/>
      <c r="L9" s="85"/>
      <c r="M9" s="85"/>
      <c r="N9" s="86"/>
      <c r="O9" s="85"/>
      <c r="P9" s="86"/>
      <c r="Q9" s="85"/>
      <c r="R9" s="85"/>
      <c r="S9" s="87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</row>
    <row r="10" spans="1:38" ht="18.600000000000001" customHeight="1" thickBot="1" x14ac:dyDescent="0.35">
      <c r="A10" s="85"/>
      <c r="B10" s="53"/>
      <c r="C10" s="71"/>
      <c r="D10" s="144"/>
      <c r="E10" s="64"/>
      <c r="F10" s="118" t="s">
        <v>55</v>
      </c>
      <c r="G10" s="116">
        <v>0.8</v>
      </c>
      <c r="H10" s="69"/>
      <c r="I10" s="54"/>
      <c r="J10" s="85"/>
      <c r="K10" s="85"/>
      <c r="L10" s="85"/>
      <c r="M10" s="136" t="s">
        <v>70</v>
      </c>
      <c r="N10" s="117"/>
      <c r="O10" s="85"/>
      <c r="P10" s="86"/>
      <c r="Q10" s="85"/>
      <c r="R10" s="85"/>
      <c r="S10" s="87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</row>
    <row r="11" spans="1:38" ht="18.600000000000001" customHeight="1" thickBot="1" x14ac:dyDescent="0.35">
      <c r="A11" s="85"/>
      <c r="B11" s="53"/>
      <c r="C11" s="71"/>
      <c r="D11" s="144"/>
      <c r="E11" s="64"/>
      <c r="F11" s="128"/>
      <c r="G11" s="119"/>
      <c r="H11" s="69"/>
      <c r="I11" s="54"/>
      <c r="J11" s="85"/>
      <c r="K11" s="85"/>
      <c r="L11" s="85"/>
      <c r="M11" s="136"/>
      <c r="N11" s="86"/>
      <c r="O11" s="85"/>
      <c r="P11" s="86"/>
      <c r="Q11" s="85"/>
      <c r="R11" s="85"/>
      <c r="S11" s="87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</row>
    <row r="12" spans="1:38" ht="18.600000000000001" customHeight="1" thickBot="1" x14ac:dyDescent="0.35">
      <c r="A12" s="85"/>
      <c r="B12" s="53"/>
      <c r="C12" s="71"/>
      <c r="D12" s="144"/>
      <c r="E12" s="64"/>
      <c r="F12" s="118" t="s">
        <v>54</v>
      </c>
      <c r="G12" s="116">
        <v>8.5</v>
      </c>
      <c r="H12" s="69"/>
      <c r="I12" s="54"/>
      <c r="J12" s="85"/>
      <c r="K12" s="85"/>
      <c r="L12" s="85"/>
      <c r="M12" s="136" t="s">
        <v>71</v>
      </c>
      <c r="N12" s="110"/>
      <c r="O12" s="85"/>
      <c r="P12" s="86"/>
      <c r="Q12" s="85"/>
      <c r="R12" s="85"/>
      <c r="S12" s="87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</row>
    <row r="13" spans="1:38" ht="18.600000000000001" customHeight="1" thickBot="1" x14ac:dyDescent="0.35">
      <c r="A13" s="85"/>
      <c r="B13" s="53"/>
      <c r="C13" s="71"/>
      <c r="D13" s="144"/>
      <c r="E13" s="64"/>
      <c r="F13" s="128"/>
      <c r="G13" s="119"/>
      <c r="H13" s="69"/>
      <c r="I13" s="54"/>
      <c r="J13" s="85"/>
      <c r="K13" s="85"/>
      <c r="L13" s="85"/>
      <c r="M13" s="85"/>
      <c r="N13" s="86"/>
      <c r="O13" s="85"/>
      <c r="P13" s="86"/>
      <c r="Q13" s="85"/>
      <c r="R13" s="85"/>
      <c r="S13" s="87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</row>
    <row r="14" spans="1:38" ht="18.600000000000001" customHeight="1" thickBot="1" x14ac:dyDescent="0.35">
      <c r="A14" s="85"/>
      <c r="B14" s="53"/>
      <c r="C14" s="71"/>
      <c r="D14" s="145"/>
      <c r="E14" s="64"/>
      <c r="F14" s="118" t="s">
        <v>81</v>
      </c>
      <c r="G14" s="121">
        <v>0.2</v>
      </c>
      <c r="H14" s="69"/>
      <c r="I14" s="54"/>
      <c r="J14" s="85"/>
      <c r="K14" s="85"/>
      <c r="L14" s="85"/>
      <c r="M14" s="85"/>
      <c r="N14" s="86"/>
      <c r="O14" s="85"/>
      <c r="P14" s="86"/>
      <c r="Q14" s="85"/>
      <c r="R14" s="85"/>
      <c r="S14" s="87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</row>
    <row r="15" spans="1:38" ht="10.050000000000001" customHeight="1" thickBot="1" x14ac:dyDescent="0.55000000000000004">
      <c r="A15" s="85"/>
      <c r="B15" s="53"/>
      <c r="C15" s="73"/>
      <c r="D15" s="134"/>
      <c r="E15" s="74"/>
      <c r="F15" s="135"/>
      <c r="G15" s="74"/>
      <c r="H15" s="75"/>
      <c r="I15" s="54"/>
      <c r="J15" s="85"/>
      <c r="K15" s="85"/>
      <c r="L15" s="85"/>
      <c r="M15" s="85"/>
      <c r="N15" s="86"/>
      <c r="O15" s="85"/>
      <c r="P15" s="86"/>
      <c r="Q15" s="85"/>
      <c r="R15" s="85"/>
      <c r="S15" s="87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</row>
    <row r="16" spans="1:38" ht="10.050000000000001" customHeight="1" thickBot="1" x14ac:dyDescent="0.55000000000000004">
      <c r="A16" s="85"/>
      <c r="B16" s="55"/>
      <c r="C16" s="56"/>
      <c r="D16" s="131"/>
      <c r="E16" s="56"/>
      <c r="F16" s="132"/>
      <c r="G16" s="56"/>
      <c r="H16" s="56"/>
      <c r="I16" s="57"/>
      <c r="J16" s="85"/>
      <c r="K16" s="85"/>
      <c r="L16" s="85"/>
      <c r="M16" s="85"/>
      <c r="N16" s="86"/>
      <c r="O16" s="85"/>
      <c r="P16" s="86"/>
      <c r="Q16" s="85"/>
      <c r="R16" s="85"/>
      <c r="S16" s="87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</row>
    <row r="17" spans="1:38" ht="15" customHeight="1" thickBot="1" x14ac:dyDescent="0.55000000000000004">
      <c r="A17" s="85"/>
      <c r="B17" s="85"/>
      <c r="D17" s="89"/>
      <c r="F17" s="85"/>
      <c r="G17" s="85"/>
      <c r="H17" s="85"/>
      <c r="I17" s="85"/>
      <c r="J17" s="85"/>
      <c r="K17" s="85"/>
      <c r="L17" s="85"/>
      <c r="M17" s="85"/>
      <c r="N17" s="86"/>
      <c r="O17" s="85"/>
      <c r="P17" s="86"/>
      <c r="Q17" s="85"/>
      <c r="R17" s="85"/>
      <c r="S17" s="87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</row>
    <row r="18" spans="1:38" ht="10.050000000000001" customHeight="1" thickBot="1" x14ac:dyDescent="0.35">
      <c r="A18" s="85"/>
      <c r="B18" s="50"/>
      <c r="C18" s="51"/>
      <c r="D18" s="51"/>
      <c r="E18" s="51"/>
      <c r="F18" s="51"/>
      <c r="G18" s="51"/>
      <c r="H18" s="51"/>
      <c r="I18" s="52"/>
      <c r="J18" s="85"/>
      <c r="K18" s="31"/>
      <c r="L18" s="32"/>
      <c r="M18" s="32"/>
      <c r="N18" s="33"/>
      <c r="O18" s="32"/>
      <c r="P18" s="33"/>
      <c r="Q18" s="32"/>
      <c r="R18" s="32"/>
      <c r="S18" s="34"/>
      <c r="T18" s="32"/>
      <c r="U18" s="3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</row>
    <row r="19" spans="1:38" ht="10.050000000000001" customHeight="1" thickBot="1" x14ac:dyDescent="0.35">
      <c r="A19" s="85"/>
      <c r="B19" s="53"/>
      <c r="C19" s="77"/>
      <c r="D19" s="63" t="s">
        <v>4</v>
      </c>
      <c r="E19" s="63"/>
      <c r="F19" s="63"/>
      <c r="G19" s="63"/>
      <c r="H19" s="68"/>
      <c r="I19" s="54"/>
      <c r="J19" s="84"/>
      <c r="K19" s="58"/>
      <c r="L19" s="77"/>
      <c r="M19" s="63"/>
      <c r="N19" s="78"/>
      <c r="O19" s="63"/>
      <c r="P19" s="78"/>
      <c r="Q19" s="63"/>
      <c r="R19" s="63"/>
      <c r="S19" s="79"/>
      <c r="T19" s="68"/>
      <c r="U19" s="59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</row>
    <row r="20" spans="1:38" ht="18.600000000000001" customHeight="1" thickBot="1" x14ac:dyDescent="0.4">
      <c r="A20" s="85"/>
      <c r="B20" s="53"/>
      <c r="C20" s="114"/>
      <c r="D20" s="15" t="s">
        <v>67</v>
      </c>
      <c r="E20" s="64"/>
      <c r="F20" s="64"/>
      <c r="G20" s="64"/>
      <c r="H20" s="69"/>
      <c r="I20" s="54"/>
      <c r="J20" s="84"/>
      <c r="K20" s="58"/>
      <c r="L20" s="71"/>
      <c r="M20" s="36" t="s">
        <v>73</v>
      </c>
      <c r="N20" s="146" t="s">
        <v>83</v>
      </c>
      <c r="O20" s="147"/>
      <c r="P20" s="147"/>
      <c r="Q20" s="147"/>
      <c r="R20" s="148"/>
      <c r="S20" s="138">
        <v>0</v>
      </c>
      <c r="T20" s="69"/>
      <c r="U20" s="59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</row>
    <row r="21" spans="1:38" ht="18.600000000000001" customHeight="1" thickBot="1" x14ac:dyDescent="0.35">
      <c r="A21" s="85"/>
      <c r="B21" s="53"/>
      <c r="C21" s="71"/>
      <c r="D21" s="72" t="s">
        <v>4</v>
      </c>
      <c r="E21" s="64" t="s">
        <v>4</v>
      </c>
      <c r="F21" s="64"/>
      <c r="G21" s="82" t="s">
        <v>51</v>
      </c>
      <c r="H21" s="69"/>
      <c r="I21" s="54"/>
      <c r="J21" s="84"/>
      <c r="K21" s="58"/>
      <c r="L21" s="71"/>
      <c r="M21" s="101" t="s">
        <v>52</v>
      </c>
      <c r="N21" s="102" t="s">
        <v>78</v>
      </c>
      <c r="O21" s="103"/>
      <c r="P21" s="104" t="s">
        <v>25</v>
      </c>
      <c r="Q21" s="103"/>
      <c r="R21" s="102" t="s">
        <v>44</v>
      </c>
      <c r="S21" s="105" t="s">
        <v>51</v>
      </c>
      <c r="T21" s="69"/>
      <c r="U21" s="59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</row>
    <row r="22" spans="1:38" ht="18.600000000000001" customHeight="1" thickBot="1" x14ac:dyDescent="0.35">
      <c r="A22" s="85"/>
      <c r="B22" s="53"/>
      <c r="C22" s="71"/>
      <c r="D22" s="26" t="s">
        <v>45</v>
      </c>
      <c r="E22" s="65" t="s">
        <v>4</v>
      </c>
      <c r="F22" s="16" t="s">
        <v>16</v>
      </c>
      <c r="G22" s="110">
        <f>(1-G14)*E37*E39+G40</f>
        <v>904.88924114419694</v>
      </c>
      <c r="H22" s="69"/>
      <c r="I22" s="54"/>
      <c r="J22" s="84"/>
      <c r="K22" s="58"/>
      <c r="L22" s="71"/>
      <c r="M22" s="106" t="s">
        <v>34</v>
      </c>
      <c r="N22" s="117">
        <v>0.95</v>
      </c>
      <c r="O22" s="108"/>
      <c r="P22" s="109">
        <f>(1-S20)*E40/N22</f>
        <v>577.47368421052636</v>
      </c>
      <c r="Q22" s="108"/>
      <c r="R22" s="137">
        <f>E49*S20</f>
        <v>0</v>
      </c>
      <c r="S22" s="110">
        <f>P22*E39+R22*F36</f>
        <v>658.3892968421053</v>
      </c>
      <c r="T22" s="69"/>
      <c r="U22" s="59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</row>
    <row r="23" spans="1:38" ht="18.600000000000001" customHeight="1" thickBot="1" x14ac:dyDescent="0.4">
      <c r="A23" s="85"/>
      <c r="B23" s="53"/>
      <c r="C23" s="73"/>
      <c r="D23" s="72" t="s">
        <v>4</v>
      </c>
      <c r="E23" s="66" t="s">
        <v>4</v>
      </c>
      <c r="F23" s="64"/>
      <c r="G23" s="70"/>
      <c r="H23" s="69"/>
      <c r="I23" s="54"/>
      <c r="J23" s="84"/>
      <c r="K23" s="58"/>
      <c r="L23" s="71"/>
      <c r="M23" s="106" t="s">
        <v>74</v>
      </c>
      <c r="N23" s="117">
        <v>1.4</v>
      </c>
      <c r="O23" s="109"/>
      <c r="P23" s="109">
        <f>(1-S20)*E40/N23</f>
        <v>391.85714285714289</v>
      </c>
      <c r="Q23" s="109"/>
      <c r="R23" s="137">
        <f>E49*S20</f>
        <v>0</v>
      </c>
      <c r="S23" s="110">
        <f>P23*E39+R23*F36</f>
        <v>446.76416571428575</v>
      </c>
      <c r="T23" s="69"/>
      <c r="U23" s="59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</row>
    <row r="24" spans="1:38" ht="18.600000000000001" customHeight="1" thickBot="1" x14ac:dyDescent="0.4">
      <c r="A24" s="85"/>
      <c r="B24" s="53"/>
      <c r="C24" s="114"/>
      <c r="D24" s="15" t="s">
        <v>68</v>
      </c>
      <c r="E24" s="63"/>
      <c r="F24" s="63"/>
      <c r="G24" s="63"/>
      <c r="H24" s="68"/>
      <c r="I24" s="54"/>
      <c r="J24" s="84"/>
      <c r="K24" s="58"/>
      <c r="L24" s="71"/>
      <c r="M24" s="101" t="s">
        <v>27</v>
      </c>
      <c r="N24" s="102" t="s">
        <v>26</v>
      </c>
      <c r="O24" s="103"/>
      <c r="P24" s="102" t="s">
        <v>25</v>
      </c>
      <c r="Q24" s="103"/>
      <c r="R24" s="102" t="s">
        <v>44</v>
      </c>
      <c r="S24" s="111" t="s">
        <v>51</v>
      </c>
      <c r="T24" s="69"/>
      <c r="U24" s="59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</row>
    <row r="25" spans="1:38" ht="18.600000000000001" customHeight="1" thickBot="1" x14ac:dyDescent="0.35">
      <c r="A25" s="85"/>
      <c r="B25" s="53"/>
      <c r="C25" s="71"/>
      <c r="D25" s="76" t="s">
        <v>4</v>
      </c>
      <c r="E25" s="64"/>
      <c r="F25" s="64"/>
      <c r="G25" s="82" t="s">
        <v>51</v>
      </c>
      <c r="H25" s="69"/>
      <c r="I25" s="54"/>
      <c r="J25" s="84"/>
      <c r="K25" s="58"/>
      <c r="L25" s="71"/>
      <c r="M25" s="106" t="s">
        <v>72</v>
      </c>
      <c r="N25" s="117">
        <v>8.5</v>
      </c>
      <c r="O25" s="108"/>
      <c r="P25" s="112" t="s">
        <v>77</v>
      </c>
      <c r="Q25" s="108"/>
      <c r="R25" s="109">
        <f>(1-S20)*E44/(N25/3.412)+S20*E49</f>
        <v>6454.1176470588243</v>
      </c>
      <c r="S25" s="110">
        <f>R25*F36</f>
        <v>747.74825411764721</v>
      </c>
      <c r="T25" s="69"/>
      <c r="U25" s="59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</row>
    <row r="26" spans="1:38" ht="18.600000000000001" customHeight="1" thickBot="1" x14ac:dyDescent="0.35">
      <c r="A26" s="85"/>
      <c r="B26" s="53"/>
      <c r="C26" s="71"/>
      <c r="D26" s="26" t="s">
        <v>40</v>
      </c>
      <c r="E26" s="66"/>
      <c r="F26" s="16" t="s">
        <v>41</v>
      </c>
      <c r="G26" s="110">
        <f>(1-G14)*E44*E46+G40</f>
        <v>1769.6562579132474</v>
      </c>
      <c r="H26" s="69"/>
      <c r="I26" s="54"/>
      <c r="J26" s="84"/>
      <c r="K26" s="58"/>
      <c r="L26" s="71"/>
      <c r="M26" s="106" t="s">
        <v>75</v>
      </c>
      <c r="N26" s="117">
        <v>9</v>
      </c>
      <c r="O26" s="108"/>
      <c r="P26" s="112" t="s">
        <v>77</v>
      </c>
      <c r="Q26" s="108"/>
      <c r="R26" s="109">
        <f>(1-S20)*E49/(N26/3.412)+S20*E49</f>
        <v>4571.6666666666661</v>
      </c>
      <c r="S26" s="110">
        <f>R26*E46</f>
        <v>529.65501333333327</v>
      </c>
      <c r="T26" s="69"/>
      <c r="U26" s="59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</row>
    <row r="27" spans="1:38" ht="18.600000000000001" customHeight="1" thickBot="1" x14ac:dyDescent="0.35">
      <c r="A27" s="85"/>
      <c r="B27" s="53"/>
      <c r="C27" s="71"/>
      <c r="D27" s="76"/>
      <c r="E27" s="64"/>
      <c r="F27" s="64"/>
      <c r="G27" s="64"/>
      <c r="H27" s="69"/>
      <c r="I27" s="54"/>
      <c r="J27" s="84"/>
      <c r="K27" s="58"/>
      <c r="L27" s="71"/>
      <c r="M27" s="101" t="s">
        <v>79</v>
      </c>
      <c r="N27" s="102" t="s">
        <v>43</v>
      </c>
      <c r="O27" s="103"/>
      <c r="P27" s="102" t="s">
        <v>25</v>
      </c>
      <c r="Q27" s="103"/>
      <c r="R27" s="103" t="s">
        <v>44</v>
      </c>
      <c r="S27" s="111" t="s">
        <v>51</v>
      </c>
      <c r="T27" s="69"/>
      <c r="U27" s="59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</row>
    <row r="28" spans="1:38" ht="18.600000000000001" customHeight="1" thickBot="1" x14ac:dyDescent="0.35">
      <c r="A28" s="85"/>
      <c r="B28" s="53"/>
      <c r="C28" s="71"/>
      <c r="D28" s="26" t="s">
        <v>65</v>
      </c>
      <c r="E28" s="66" t="s">
        <v>4</v>
      </c>
      <c r="F28" s="16" t="s">
        <v>66</v>
      </c>
      <c r="G28" s="110">
        <f>(1-G14)*E44/(G12/3.412)*E46+G40</f>
        <v>877.61801243831462</v>
      </c>
      <c r="H28" s="69"/>
      <c r="I28" s="54"/>
      <c r="J28" s="84"/>
      <c r="K28" s="58"/>
      <c r="L28" s="71"/>
      <c r="M28" s="106" t="s">
        <v>76</v>
      </c>
      <c r="N28" s="117">
        <v>0.86</v>
      </c>
      <c r="O28" s="108"/>
      <c r="P28" s="112">
        <f>(1-S20)*E40/N28*0.74</f>
        <v>472.05116279069767</v>
      </c>
      <c r="Q28" s="108"/>
      <c r="R28" s="107" t="s">
        <v>77</v>
      </c>
      <c r="S28" s="110">
        <f>P28*E39</f>
        <v>538.1949717209302</v>
      </c>
      <c r="T28" s="69"/>
      <c r="U28" s="59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</row>
    <row r="29" spans="1:38" ht="18.600000000000001" customHeight="1" thickBot="1" x14ac:dyDescent="0.35">
      <c r="A29" s="85"/>
      <c r="B29" s="53"/>
      <c r="C29" s="71"/>
      <c r="D29" s="76" t="s">
        <v>4</v>
      </c>
      <c r="E29" s="64"/>
      <c r="F29" s="64"/>
      <c r="G29" s="64" t="s">
        <v>4</v>
      </c>
      <c r="H29" s="69"/>
      <c r="I29" s="54"/>
      <c r="J29" s="84"/>
      <c r="K29" s="58"/>
      <c r="L29" s="71"/>
      <c r="M29" s="106" t="s">
        <v>69</v>
      </c>
      <c r="N29" s="117">
        <v>9</v>
      </c>
      <c r="O29" s="108"/>
      <c r="P29" s="112" t="s">
        <v>77</v>
      </c>
      <c r="Q29" s="108"/>
      <c r="R29" s="109">
        <f>(1-S20)*E44/(N29/3.412)*0.26+S20*E49</f>
        <v>1584.8444444444444</v>
      </c>
      <c r="S29" s="110">
        <f>R29*F36</f>
        <v>183.61373795555556</v>
      </c>
      <c r="T29" s="69"/>
      <c r="U29" s="59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</row>
    <row r="30" spans="1:38" ht="18.600000000000001" customHeight="1" thickBot="1" x14ac:dyDescent="0.35">
      <c r="A30" s="85"/>
      <c r="B30" s="53"/>
      <c r="C30" s="71"/>
      <c r="D30" s="26" t="s">
        <v>56</v>
      </c>
      <c r="E30" s="66" t="s">
        <v>4</v>
      </c>
      <c r="F30" s="16" t="s">
        <v>42</v>
      </c>
      <c r="G30" s="110">
        <f>E49*E46</f>
        <v>1397.0970457209846</v>
      </c>
      <c r="H30" s="69"/>
      <c r="I30" s="54"/>
      <c r="J30" s="84"/>
      <c r="K30" s="58"/>
      <c r="L30" s="71"/>
      <c r="M30" s="113" t="s">
        <v>80</v>
      </c>
      <c r="N30" s="107"/>
      <c r="O30" s="108"/>
      <c r="P30" s="112"/>
      <c r="Q30" s="108"/>
      <c r="R30" s="108"/>
      <c r="S30" s="110">
        <f>SUM(S28:S29)</f>
        <v>721.80870967648571</v>
      </c>
      <c r="T30" s="69"/>
      <c r="U30" s="59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</row>
    <row r="31" spans="1:38" ht="10.050000000000001" customHeight="1" thickBot="1" x14ac:dyDescent="0.35">
      <c r="A31" s="85"/>
      <c r="B31" s="53"/>
      <c r="C31" s="73"/>
      <c r="D31" s="83" t="s">
        <v>4</v>
      </c>
      <c r="E31" s="67" t="s">
        <v>4</v>
      </c>
      <c r="F31" s="115"/>
      <c r="G31" s="74"/>
      <c r="H31" s="75"/>
      <c r="I31" s="54"/>
      <c r="J31" s="84"/>
      <c r="K31" s="58"/>
      <c r="L31" s="73"/>
      <c r="M31" s="74"/>
      <c r="N31" s="80"/>
      <c r="O31" s="74"/>
      <c r="P31" s="80"/>
      <c r="Q31" s="74"/>
      <c r="R31" s="74"/>
      <c r="S31" s="81"/>
      <c r="T31" s="75"/>
      <c r="U31" s="59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</row>
    <row r="32" spans="1:38" ht="10.050000000000001" customHeight="1" thickBot="1" x14ac:dyDescent="0.35">
      <c r="A32" s="85"/>
      <c r="B32" s="55"/>
      <c r="C32" s="56"/>
      <c r="D32" s="56"/>
      <c r="E32" s="56"/>
      <c r="F32" s="56"/>
      <c r="G32" s="56"/>
      <c r="H32" s="56"/>
      <c r="I32" s="57"/>
      <c r="J32" s="84"/>
      <c r="K32" s="60"/>
      <c r="L32" s="61"/>
      <c r="M32" s="91"/>
      <c r="N32" s="92"/>
      <c r="O32" s="91"/>
      <c r="P32" s="92"/>
      <c r="Q32" s="91"/>
      <c r="R32" s="91"/>
      <c r="S32" s="93"/>
      <c r="T32" s="61"/>
      <c r="U32" s="62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</row>
    <row r="33" spans="1:38" ht="10.050000000000001" customHeight="1" x14ac:dyDescent="0.3">
      <c r="A33" s="85"/>
      <c r="B33" s="84"/>
      <c r="C33" s="84"/>
      <c r="D33" s="84"/>
      <c r="E33" s="84"/>
      <c r="F33" s="84"/>
      <c r="G33" s="84"/>
      <c r="H33" s="84"/>
      <c r="I33" s="84"/>
      <c r="J33" s="84"/>
      <c r="K33" s="99"/>
      <c r="L33" s="140" t="s">
        <v>84</v>
      </c>
      <c r="M33" s="140"/>
      <c r="N33" s="140"/>
      <c r="O33" s="140"/>
      <c r="P33" s="140"/>
      <c r="Q33" s="140"/>
      <c r="R33" s="140"/>
      <c r="S33" s="140"/>
      <c r="T33" s="140"/>
      <c r="U33" s="100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</row>
    <row r="34" spans="1:38" ht="10.5" customHeight="1" thickBot="1" x14ac:dyDescent="0.35">
      <c r="A34" s="85"/>
      <c r="B34" s="142"/>
      <c r="C34" s="142"/>
      <c r="D34" s="142"/>
      <c r="E34" s="142"/>
      <c r="F34" s="142"/>
      <c r="G34" s="142"/>
      <c r="H34" s="142"/>
      <c r="I34" s="85"/>
      <c r="J34" s="85"/>
      <c r="K34" s="99"/>
      <c r="L34" s="141"/>
      <c r="M34" s="141"/>
      <c r="N34" s="141"/>
      <c r="O34" s="141"/>
      <c r="P34" s="141"/>
      <c r="Q34" s="141"/>
      <c r="R34" s="141"/>
      <c r="S34" s="141"/>
      <c r="T34" s="141"/>
      <c r="U34" s="100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</row>
    <row r="35" spans="1:38" ht="16.5" customHeight="1" thickBot="1" x14ac:dyDescent="0.4">
      <c r="A35" s="85"/>
      <c r="B35" s="85"/>
      <c r="C35" s="85"/>
      <c r="D35" s="37" t="s">
        <v>0</v>
      </c>
      <c r="E35" s="45"/>
      <c r="F35" s="45" t="s">
        <v>38</v>
      </c>
      <c r="G35" s="96"/>
      <c r="H35" s="88"/>
      <c r="I35" s="88"/>
      <c r="J35" s="85"/>
      <c r="K35" s="99"/>
      <c r="L35" s="141"/>
      <c r="M35" s="141"/>
      <c r="N35" s="141"/>
      <c r="O35" s="141"/>
      <c r="P35" s="141"/>
      <c r="Q35" s="141"/>
      <c r="R35" s="141"/>
      <c r="S35" s="141"/>
      <c r="T35" s="141"/>
      <c r="U35" s="100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</row>
    <row r="36" spans="1:38" ht="15" thickBot="1" x14ac:dyDescent="0.35">
      <c r="A36" s="85"/>
      <c r="B36" s="85"/>
      <c r="C36" s="85"/>
      <c r="D36" s="22" t="s">
        <v>48</v>
      </c>
      <c r="E36" s="125">
        <f>G10</f>
        <v>0.8</v>
      </c>
      <c r="F36" s="126">
        <f>G6</f>
        <v>0.115856</v>
      </c>
      <c r="G36" s="85"/>
      <c r="H36" s="85"/>
      <c r="I36" s="85"/>
      <c r="J36" s="85"/>
      <c r="K36" s="99"/>
      <c r="L36" s="141"/>
      <c r="M36" s="141"/>
      <c r="N36" s="141"/>
      <c r="O36" s="141"/>
      <c r="P36" s="141"/>
      <c r="Q36" s="141"/>
      <c r="R36" s="141"/>
      <c r="S36" s="141"/>
      <c r="T36" s="141"/>
      <c r="U36" s="100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</row>
    <row r="37" spans="1:38" ht="15" thickBot="1" x14ac:dyDescent="0.35">
      <c r="A37" s="85"/>
      <c r="B37" s="85"/>
      <c r="C37" s="85"/>
      <c r="D37" s="23" t="s">
        <v>49</v>
      </c>
      <c r="E37" s="98">
        <f>E40/E36</f>
        <v>685.75</v>
      </c>
      <c r="F37" s="27"/>
      <c r="G37" s="85" t="s">
        <v>4</v>
      </c>
      <c r="H37" s="85"/>
      <c r="I37" s="85"/>
      <c r="J37" s="88"/>
      <c r="K37" s="84"/>
      <c r="L37" s="84"/>
      <c r="M37" s="84"/>
      <c r="N37" s="88"/>
      <c r="O37" s="84"/>
      <c r="P37" s="88"/>
      <c r="Q37" s="84"/>
      <c r="R37" s="84"/>
      <c r="S37" s="94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</row>
    <row r="38" spans="1:38" ht="15" thickBot="1" x14ac:dyDescent="0.35">
      <c r="A38" s="85"/>
      <c r="B38" s="85"/>
      <c r="C38" s="85"/>
      <c r="D38" s="23" t="s">
        <v>6</v>
      </c>
      <c r="E38" s="97">
        <v>0.75</v>
      </c>
      <c r="F38" s="85"/>
      <c r="G38" s="85"/>
      <c r="H38" s="85"/>
      <c r="I38" s="85"/>
      <c r="J38" s="85"/>
      <c r="K38" s="84"/>
      <c r="L38" s="84"/>
      <c r="M38" s="85"/>
      <c r="N38" s="86"/>
      <c r="O38" s="85"/>
      <c r="P38" s="86"/>
      <c r="Q38" s="85"/>
      <c r="R38" s="85"/>
      <c r="S38" s="87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</row>
    <row r="39" spans="1:38" ht="15" thickBot="1" x14ac:dyDescent="0.35">
      <c r="A39" s="85"/>
      <c r="B39" s="85"/>
      <c r="C39" s="85"/>
      <c r="D39" s="23" t="s">
        <v>86</v>
      </c>
      <c r="E39" s="39">
        <f>G8</f>
        <v>1.14012</v>
      </c>
      <c r="F39" s="48" t="s">
        <v>61</v>
      </c>
      <c r="G39" s="49">
        <f>E49*G14</f>
        <v>2411.7819460726846</v>
      </c>
      <c r="H39" s="85"/>
      <c r="I39" s="85"/>
      <c r="J39" s="85"/>
      <c r="K39" s="85"/>
      <c r="L39" s="85"/>
      <c r="M39" s="85"/>
      <c r="N39" s="86"/>
      <c r="O39" s="85"/>
      <c r="P39" s="86"/>
      <c r="Q39" s="85"/>
      <c r="R39" s="85"/>
      <c r="S39" s="87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</row>
    <row r="40" spans="1:38" x14ac:dyDescent="0.3">
      <c r="A40" s="85"/>
      <c r="B40" s="85"/>
      <c r="C40" s="85"/>
      <c r="D40" s="23" t="s">
        <v>19</v>
      </c>
      <c r="E40" s="40">
        <v>548.6</v>
      </c>
      <c r="F40" s="46" t="s">
        <v>31</v>
      </c>
      <c r="G40" s="47">
        <f>G39*E46</f>
        <v>279.41940914419695</v>
      </c>
      <c r="H40" s="85"/>
      <c r="I40" s="85"/>
      <c r="J40" s="85"/>
      <c r="K40" s="85"/>
      <c r="L40" s="85"/>
      <c r="M40" s="85" t="s">
        <v>4</v>
      </c>
      <c r="N40" s="86"/>
      <c r="O40" s="85"/>
      <c r="P40" s="86"/>
      <c r="Q40" s="85"/>
      <c r="R40" s="85"/>
      <c r="S40" s="87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</row>
    <row r="41" spans="1:38" ht="15" thickBot="1" x14ac:dyDescent="0.35">
      <c r="A41" s="85"/>
      <c r="B41" s="85"/>
      <c r="C41" s="85"/>
      <c r="D41" s="24" t="s">
        <v>20</v>
      </c>
      <c r="E41" s="41">
        <f>E37*E38</f>
        <v>514.3125</v>
      </c>
      <c r="F41" s="28" t="s">
        <v>32</v>
      </c>
      <c r="G41" s="25">
        <f>(G39*0.5)*E46</f>
        <v>139.70970457209847</v>
      </c>
      <c r="H41" s="85"/>
      <c r="I41" s="85"/>
      <c r="J41" s="85"/>
      <c r="K41" s="85"/>
      <c r="L41" s="85"/>
      <c r="M41" s="85"/>
      <c r="N41" s="86"/>
      <c r="O41" s="85"/>
      <c r="P41" s="86"/>
      <c r="Q41" s="85"/>
      <c r="R41" s="85"/>
      <c r="S41" s="87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</row>
    <row r="42" spans="1:38" ht="27" thickBot="1" x14ac:dyDescent="0.4">
      <c r="A42" s="85"/>
      <c r="B42" s="85"/>
      <c r="C42" s="85"/>
      <c r="D42" s="37" t="s">
        <v>14</v>
      </c>
      <c r="E42" s="42"/>
      <c r="F42" s="29" t="s">
        <v>50</v>
      </c>
      <c r="G42" s="85"/>
      <c r="H42" s="85"/>
      <c r="I42" s="85"/>
      <c r="J42" s="85"/>
      <c r="K42" s="88"/>
      <c r="L42" s="88"/>
      <c r="M42" s="88"/>
      <c r="N42" s="86" t="s">
        <v>4</v>
      </c>
      <c r="O42" s="85"/>
      <c r="P42" s="86"/>
      <c r="Q42" s="85"/>
      <c r="R42" s="85"/>
      <c r="S42" s="87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</row>
    <row r="43" spans="1:38" ht="15" thickBot="1" x14ac:dyDescent="0.35">
      <c r="A43" s="85"/>
      <c r="B43" s="85"/>
      <c r="C43" s="85"/>
      <c r="D43" s="22" t="s">
        <v>10</v>
      </c>
      <c r="E43" s="12"/>
      <c r="F43" s="30" t="s">
        <v>35</v>
      </c>
      <c r="G43" s="85"/>
      <c r="H43" s="85"/>
      <c r="I43" s="85"/>
      <c r="J43" s="85"/>
      <c r="K43" s="85"/>
      <c r="L43" s="85"/>
      <c r="M43" s="85"/>
      <c r="N43" s="86" t="s">
        <v>4</v>
      </c>
      <c r="O43" s="85"/>
      <c r="P43" s="86"/>
      <c r="Q43" s="85"/>
      <c r="R43" s="85"/>
      <c r="S43" s="87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</row>
    <row r="44" spans="1:38" ht="15" thickBot="1" x14ac:dyDescent="0.35">
      <c r="A44" s="85"/>
      <c r="B44" s="85"/>
      <c r="C44" s="85"/>
      <c r="D44" s="23" t="s">
        <v>11</v>
      </c>
      <c r="E44" s="40">
        <f>(E40*100000)/3412</f>
        <v>16078.546307151231</v>
      </c>
      <c r="F44" s="30" t="s">
        <v>33</v>
      </c>
      <c r="G44" s="85"/>
      <c r="H44" s="85"/>
      <c r="I44" s="85"/>
      <c r="J44" s="85"/>
      <c r="K44" s="85"/>
      <c r="L44" s="85"/>
      <c r="M44" s="85"/>
      <c r="N44" s="86"/>
      <c r="O44" s="85"/>
      <c r="P44" s="86"/>
      <c r="Q44" s="85"/>
      <c r="R44" s="85"/>
      <c r="S44" s="87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</row>
    <row r="45" spans="1:38" x14ac:dyDescent="0.3">
      <c r="A45" s="85"/>
      <c r="B45" s="85"/>
      <c r="C45" s="85"/>
      <c r="D45" s="23" t="s">
        <v>29</v>
      </c>
      <c r="E45" s="40">
        <f>E44/D55</f>
        <v>6454.1176470588243</v>
      </c>
      <c r="F45" s="85"/>
      <c r="G45" s="85"/>
      <c r="H45" s="85"/>
      <c r="I45" s="85"/>
      <c r="J45" s="85"/>
      <c r="K45" s="85"/>
      <c r="L45" s="85"/>
      <c r="M45" s="85"/>
      <c r="N45" s="86"/>
      <c r="O45" s="85"/>
      <c r="P45" s="86"/>
      <c r="Q45" s="85"/>
      <c r="R45" s="85"/>
      <c r="S45" s="87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</row>
    <row r="46" spans="1:38" x14ac:dyDescent="0.3">
      <c r="A46" s="85"/>
      <c r="B46" s="85"/>
      <c r="C46" s="85"/>
      <c r="D46" s="23" t="s">
        <v>39</v>
      </c>
      <c r="E46" s="43">
        <f>F36</f>
        <v>0.115856</v>
      </c>
      <c r="F46" s="85"/>
      <c r="G46" s="85"/>
      <c r="H46" s="85"/>
      <c r="I46" s="85"/>
      <c r="J46" s="85"/>
      <c r="K46" s="85"/>
      <c r="L46" s="85"/>
      <c r="M46" s="85"/>
      <c r="N46" s="86"/>
      <c r="O46" s="85"/>
      <c r="P46" s="86"/>
      <c r="Q46" s="85"/>
      <c r="R46" s="85"/>
      <c r="S46" s="87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</row>
    <row r="47" spans="1:38" x14ac:dyDescent="0.3">
      <c r="A47" s="85"/>
      <c r="B47" s="85"/>
      <c r="C47" s="85"/>
      <c r="D47" s="22" t="s">
        <v>15</v>
      </c>
      <c r="E47" s="12"/>
      <c r="F47" s="85"/>
      <c r="G47" s="85"/>
      <c r="H47" s="85"/>
      <c r="I47" s="85"/>
      <c r="J47" s="85"/>
      <c r="K47" s="85"/>
      <c r="L47" s="85"/>
      <c r="M47" s="85"/>
      <c r="N47" s="86"/>
      <c r="O47" s="85"/>
      <c r="P47" s="86"/>
      <c r="Q47" s="85"/>
      <c r="R47" s="85"/>
      <c r="S47" s="87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</row>
    <row r="48" spans="1:38" x14ac:dyDescent="0.3">
      <c r="A48" s="85"/>
      <c r="B48" s="85"/>
      <c r="C48" s="85"/>
      <c r="D48" s="23" t="s">
        <v>6</v>
      </c>
      <c r="E48" s="38">
        <v>0.75</v>
      </c>
      <c r="F48" s="85"/>
      <c r="G48" s="85"/>
      <c r="H48" s="85"/>
      <c r="I48" s="85"/>
      <c r="J48" s="85"/>
      <c r="K48" s="85"/>
      <c r="L48" s="85"/>
      <c r="M48" s="85"/>
      <c r="N48" s="86"/>
      <c r="O48" s="85"/>
      <c r="P48" s="86"/>
      <c r="Q48" s="85"/>
      <c r="R48" s="85"/>
      <c r="S48" s="87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</row>
    <row r="49" spans="1:38" x14ac:dyDescent="0.3">
      <c r="A49" s="85"/>
      <c r="B49" s="85"/>
      <c r="C49" s="85"/>
      <c r="D49" s="23" t="s">
        <v>28</v>
      </c>
      <c r="E49" s="40">
        <f>E44*0.75</f>
        <v>12058.909730363423</v>
      </c>
      <c r="F49" s="85"/>
      <c r="G49" s="85"/>
      <c r="H49" s="85"/>
      <c r="I49" s="85"/>
      <c r="J49" s="85"/>
      <c r="K49" s="85"/>
      <c r="L49" s="85"/>
      <c r="M49" s="95" t="s">
        <v>4</v>
      </c>
      <c r="N49" s="86"/>
      <c r="O49" s="85"/>
      <c r="P49" s="86"/>
      <c r="Q49" s="85"/>
      <c r="R49" s="85"/>
      <c r="S49" s="87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</row>
    <row r="50" spans="1:38" x14ac:dyDescent="0.3">
      <c r="A50" s="85"/>
      <c r="B50" s="85"/>
      <c r="C50" s="85"/>
      <c r="D50" s="23" t="s">
        <v>21</v>
      </c>
      <c r="E50" s="40">
        <f>E49/D57</f>
        <v>4114.5</v>
      </c>
      <c r="F50" s="85"/>
      <c r="G50" s="85"/>
      <c r="H50" s="85"/>
      <c r="I50" s="85"/>
      <c r="J50" s="85"/>
      <c r="K50" s="85"/>
      <c r="L50" s="85"/>
      <c r="M50" s="85"/>
      <c r="N50" s="86"/>
      <c r="O50" s="85"/>
      <c r="P50" s="86"/>
      <c r="Q50" s="85"/>
      <c r="R50" s="85"/>
      <c r="S50" s="87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</row>
    <row r="51" spans="1:38" ht="15" thickBot="1" x14ac:dyDescent="0.35">
      <c r="A51" s="85"/>
      <c r="B51" s="85"/>
      <c r="C51" s="85"/>
      <c r="D51" s="24" t="s">
        <v>36</v>
      </c>
      <c r="E51" s="44">
        <f>E50*0.8</f>
        <v>3291.6000000000004</v>
      </c>
      <c r="F51" s="85"/>
      <c r="G51" s="85"/>
      <c r="H51" s="85"/>
      <c r="I51" s="85"/>
      <c r="J51" s="85"/>
      <c r="K51" s="85"/>
      <c r="L51" s="85"/>
      <c r="M51" s="85"/>
      <c r="N51" s="86"/>
      <c r="O51" s="85"/>
      <c r="P51" s="86"/>
      <c r="Q51" s="85"/>
      <c r="R51" s="85"/>
      <c r="S51" s="87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</row>
    <row r="52" spans="1:38" x14ac:dyDescent="0.3">
      <c r="A52" s="85"/>
      <c r="B52" s="85"/>
      <c r="C52" s="85"/>
      <c r="D52" s="90"/>
      <c r="E52" s="90"/>
      <c r="F52" s="85"/>
      <c r="G52" s="85"/>
      <c r="H52" s="85"/>
      <c r="I52" s="85"/>
      <c r="J52" s="85"/>
      <c r="K52" s="85"/>
      <c r="L52" s="85"/>
      <c r="M52" s="85"/>
      <c r="N52" s="86"/>
      <c r="O52" s="85"/>
      <c r="P52" s="86"/>
      <c r="Q52" s="85"/>
      <c r="R52" s="85"/>
      <c r="S52" s="87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</row>
    <row r="53" spans="1:38" ht="15" thickBot="1" x14ac:dyDescent="0.35">
      <c r="A53" s="85"/>
      <c r="B53" s="85"/>
      <c r="C53" s="85"/>
      <c r="D53" s="90" t="s">
        <v>30</v>
      </c>
      <c r="E53" s="90"/>
      <c r="F53" s="85"/>
      <c r="G53" s="85"/>
      <c r="H53" s="85"/>
      <c r="I53" s="85"/>
      <c r="J53" s="85"/>
      <c r="K53" s="85"/>
      <c r="L53" s="85"/>
      <c r="M53" s="85"/>
      <c r="N53" s="86"/>
      <c r="O53" s="85"/>
      <c r="P53" s="86"/>
      <c r="Q53" s="85"/>
      <c r="R53" s="85"/>
      <c r="S53" s="87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</row>
    <row r="54" spans="1:38" x14ac:dyDescent="0.3">
      <c r="A54" s="85"/>
      <c r="B54" s="85"/>
      <c r="C54" s="85"/>
      <c r="D54" s="10" t="s">
        <v>12</v>
      </c>
      <c r="E54" s="84"/>
      <c r="F54" s="85"/>
      <c r="G54" s="85"/>
      <c r="H54" s="85"/>
      <c r="I54" s="85"/>
      <c r="J54" s="85"/>
      <c r="K54" s="85"/>
      <c r="L54" s="85"/>
      <c r="M54" s="85"/>
      <c r="N54" s="86"/>
      <c r="O54" s="85"/>
      <c r="P54" s="86"/>
      <c r="Q54" s="85"/>
      <c r="R54" s="85"/>
      <c r="S54" s="87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</row>
    <row r="55" spans="1:38" x14ac:dyDescent="0.3">
      <c r="A55" s="85"/>
      <c r="B55" s="85"/>
      <c r="C55" s="85"/>
      <c r="D55" s="11">
        <f>8.5/3.412</f>
        <v>2.4912075029308323</v>
      </c>
      <c r="E55" s="84"/>
      <c r="F55" s="85"/>
      <c r="G55" s="85"/>
      <c r="H55" s="85"/>
      <c r="I55" s="85"/>
      <c r="J55" s="85"/>
      <c r="K55" s="85"/>
      <c r="L55" s="85"/>
      <c r="M55" s="85"/>
      <c r="N55" s="86"/>
      <c r="O55" s="85"/>
      <c r="P55" s="86"/>
      <c r="Q55" s="85"/>
      <c r="R55" s="85"/>
      <c r="S55" s="87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</row>
    <row r="56" spans="1:38" x14ac:dyDescent="0.3">
      <c r="A56" s="85"/>
      <c r="B56" s="85"/>
      <c r="C56" s="85"/>
      <c r="D56" s="12" t="s">
        <v>13</v>
      </c>
      <c r="E56" s="84"/>
      <c r="F56" s="85"/>
      <c r="G56" s="85"/>
      <c r="H56" s="85"/>
      <c r="I56" s="85"/>
      <c r="J56" s="85"/>
      <c r="K56" s="85"/>
      <c r="L56" s="85"/>
      <c r="M56" s="85"/>
      <c r="N56" s="86"/>
      <c r="O56" s="85"/>
      <c r="P56" s="86"/>
      <c r="Q56" s="85"/>
      <c r="R56" s="85"/>
      <c r="S56" s="87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</row>
    <row r="57" spans="1:38" ht="15" thickBot="1" x14ac:dyDescent="0.35">
      <c r="A57" s="85"/>
      <c r="B57" s="85"/>
      <c r="C57" s="85"/>
      <c r="D57" s="13">
        <f>10/3.412</f>
        <v>2.9308323563892147</v>
      </c>
      <c r="E57" s="84"/>
      <c r="F57" s="85"/>
      <c r="G57" s="85"/>
      <c r="H57" s="85"/>
      <c r="I57" s="85"/>
      <c r="J57" s="85"/>
      <c r="K57" s="85"/>
      <c r="L57" s="85"/>
      <c r="M57" s="85"/>
      <c r="N57" s="86"/>
      <c r="O57" s="85"/>
      <c r="P57" s="86"/>
      <c r="Q57" s="85"/>
      <c r="R57" s="85"/>
      <c r="S57" s="87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</row>
    <row r="58" spans="1:38" x14ac:dyDescent="0.3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6"/>
      <c r="O58" s="85"/>
      <c r="P58" s="86"/>
      <c r="Q58" s="85"/>
      <c r="R58" s="85"/>
      <c r="S58" s="87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</row>
    <row r="59" spans="1:38" x14ac:dyDescent="0.3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6"/>
      <c r="O59" s="85"/>
      <c r="P59" s="86"/>
      <c r="Q59" s="85"/>
      <c r="R59" s="85"/>
      <c r="S59" s="87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</row>
    <row r="60" spans="1:38" x14ac:dyDescent="0.3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6"/>
      <c r="O60" s="85"/>
      <c r="P60" s="86"/>
      <c r="Q60" s="85"/>
      <c r="R60" s="85"/>
      <c r="S60" s="87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</row>
    <row r="61" spans="1:38" x14ac:dyDescent="0.3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6"/>
      <c r="O61" s="85"/>
      <c r="P61" s="86"/>
      <c r="Q61" s="85"/>
      <c r="R61" s="85"/>
      <c r="S61" s="87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</row>
    <row r="62" spans="1:38" x14ac:dyDescent="0.3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6"/>
      <c r="O62" s="85"/>
      <c r="P62" s="86"/>
      <c r="Q62" s="85"/>
      <c r="R62" s="85"/>
      <c r="S62" s="87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</row>
    <row r="63" spans="1:38" x14ac:dyDescent="0.3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6"/>
      <c r="O63" s="85"/>
      <c r="P63" s="86"/>
      <c r="Q63" s="85"/>
      <c r="R63" s="85"/>
      <c r="S63" s="87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</row>
    <row r="64" spans="1:38" x14ac:dyDescent="0.3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6"/>
      <c r="O64" s="85"/>
      <c r="P64" s="86"/>
      <c r="Q64" s="85"/>
      <c r="R64" s="85"/>
      <c r="S64" s="87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</row>
    <row r="65" spans="1:38" x14ac:dyDescent="0.3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6"/>
      <c r="O65" s="85"/>
      <c r="P65" s="86"/>
      <c r="Q65" s="85"/>
      <c r="R65" s="85"/>
      <c r="S65" s="87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</row>
    <row r="66" spans="1:38" x14ac:dyDescent="0.3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6"/>
      <c r="O66" s="85"/>
      <c r="P66" s="86"/>
      <c r="Q66" s="85"/>
      <c r="R66" s="85"/>
      <c r="S66" s="87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</row>
    <row r="67" spans="1:38" x14ac:dyDescent="0.3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6"/>
      <c r="O67" s="85"/>
      <c r="P67" s="86"/>
      <c r="Q67" s="85"/>
      <c r="R67" s="85"/>
      <c r="S67" s="87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</row>
    <row r="68" spans="1:38" x14ac:dyDescent="0.3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6"/>
      <c r="O68" s="85"/>
      <c r="P68" s="86"/>
      <c r="Q68" s="85"/>
      <c r="R68" s="85"/>
      <c r="S68" s="87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</row>
    <row r="69" spans="1:38" x14ac:dyDescent="0.3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6"/>
      <c r="O69" s="85"/>
      <c r="P69" s="86"/>
      <c r="Q69" s="85"/>
      <c r="R69" s="85"/>
      <c r="S69" s="87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</row>
    <row r="70" spans="1:38" x14ac:dyDescent="0.3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6"/>
      <c r="O70" s="85"/>
      <c r="P70" s="86"/>
      <c r="Q70" s="85"/>
      <c r="R70" s="85"/>
      <c r="S70" s="87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</row>
    <row r="71" spans="1:38" x14ac:dyDescent="0.3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6"/>
      <c r="O71" s="85"/>
      <c r="P71" s="86"/>
      <c r="Q71" s="85"/>
      <c r="R71" s="85"/>
      <c r="S71" s="87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</row>
    <row r="72" spans="1:38" x14ac:dyDescent="0.3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6"/>
      <c r="O72" s="85"/>
      <c r="P72" s="86"/>
      <c r="Q72" s="85"/>
      <c r="R72" s="85"/>
      <c r="S72" s="87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</row>
    <row r="73" spans="1:38" x14ac:dyDescent="0.3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6"/>
      <c r="O73" s="85"/>
      <c r="P73" s="86"/>
      <c r="Q73" s="85"/>
      <c r="R73" s="85"/>
      <c r="S73" s="87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</row>
    <row r="74" spans="1:38" x14ac:dyDescent="0.3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6"/>
      <c r="O74" s="85"/>
      <c r="P74" s="86"/>
      <c r="Q74" s="85"/>
      <c r="R74" s="85"/>
      <c r="S74" s="87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</row>
    <row r="75" spans="1:38" x14ac:dyDescent="0.3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6"/>
      <c r="O75" s="85"/>
      <c r="P75" s="86"/>
      <c r="Q75" s="85"/>
      <c r="R75" s="85"/>
      <c r="S75" s="87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</row>
    <row r="76" spans="1:38" x14ac:dyDescent="0.3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6"/>
      <c r="O76" s="85"/>
      <c r="P76" s="86"/>
      <c r="Q76" s="85"/>
      <c r="R76" s="85"/>
      <c r="S76" s="87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</row>
    <row r="77" spans="1:38" x14ac:dyDescent="0.3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6"/>
      <c r="O77" s="85"/>
      <c r="P77" s="86"/>
      <c r="Q77" s="85"/>
      <c r="R77" s="85"/>
      <c r="S77" s="87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</row>
    <row r="78" spans="1:38" x14ac:dyDescent="0.3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6"/>
      <c r="O78" s="85"/>
      <c r="P78" s="86"/>
      <c r="Q78" s="85"/>
      <c r="R78" s="85"/>
      <c r="S78" s="87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</row>
    <row r="79" spans="1:38" x14ac:dyDescent="0.3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6"/>
      <c r="O79" s="85"/>
      <c r="P79" s="86"/>
      <c r="Q79" s="85"/>
      <c r="R79" s="85"/>
      <c r="S79" s="87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</row>
    <row r="80" spans="1:38" x14ac:dyDescent="0.3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6"/>
      <c r="O80" s="85"/>
      <c r="P80" s="86"/>
      <c r="Q80" s="85"/>
      <c r="R80" s="85"/>
      <c r="S80" s="87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</row>
    <row r="81" spans="1:38" x14ac:dyDescent="0.3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6"/>
      <c r="O81" s="85"/>
      <c r="P81" s="86"/>
      <c r="Q81" s="85"/>
      <c r="R81" s="85"/>
      <c r="S81" s="87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</row>
    <row r="82" spans="1:38" x14ac:dyDescent="0.3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6"/>
      <c r="O82" s="85"/>
      <c r="P82" s="86"/>
      <c r="Q82" s="85"/>
      <c r="R82" s="85"/>
      <c r="S82" s="87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</row>
    <row r="83" spans="1:38" x14ac:dyDescent="0.3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6"/>
      <c r="O83" s="85"/>
      <c r="P83" s="86"/>
      <c r="Q83" s="85"/>
      <c r="R83" s="85"/>
      <c r="S83" s="87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</row>
    <row r="84" spans="1:38" x14ac:dyDescent="0.3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6"/>
      <c r="O84" s="85"/>
      <c r="P84" s="86"/>
      <c r="Q84" s="85"/>
      <c r="R84" s="85"/>
      <c r="S84" s="87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</row>
    <row r="85" spans="1:38" x14ac:dyDescent="0.3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6"/>
      <c r="O85" s="85"/>
      <c r="P85" s="86"/>
      <c r="Q85" s="85"/>
      <c r="R85" s="85"/>
      <c r="S85" s="87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</row>
    <row r="86" spans="1:38" x14ac:dyDescent="0.3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6"/>
      <c r="O86" s="85"/>
      <c r="P86" s="86"/>
      <c r="Q86" s="85"/>
      <c r="R86" s="85"/>
      <c r="S86" s="87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</row>
    <row r="87" spans="1:38" x14ac:dyDescent="0.3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6"/>
      <c r="O87" s="85"/>
      <c r="P87" s="86"/>
      <c r="Q87" s="85"/>
      <c r="R87" s="85"/>
      <c r="S87" s="87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</row>
    <row r="88" spans="1:38" x14ac:dyDescent="0.3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6"/>
      <c r="O88" s="85"/>
      <c r="P88" s="86"/>
      <c r="Q88" s="85"/>
      <c r="R88" s="85"/>
      <c r="S88" s="87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</row>
    <row r="89" spans="1:38" x14ac:dyDescent="0.3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6"/>
      <c r="O89" s="85"/>
      <c r="P89" s="86"/>
      <c r="Q89" s="85"/>
      <c r="R89" s="85"/>
      <c r="S89" s="87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</row>
    <row r="90" spans="1:38" x14ac:dyDescent="0.3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6"/>
      <c r="O90" s="85"/>
      <c r="P90" s="86"/>
      <c r="Q90" s="85"/>
      <c r="R90" s="85"/>
      <c r="S90" s="87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</row>
    <row r="91" spans="1:38" x14ac:dyDescent="0.3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6"/>
      <c r="O91" s="85"/>
      <c r="P91" s="86"/>
      <c r="Q91" s="85"/>
      <c r="R91" s="85"/>
      <c r="S91" s="87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</row>
    <row r="92" spans="1:38" x14ac:dyDescent="0.3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6"/>
      <c r="O92" s="85"/>
      <c r="P92" s="86"/>
      <c r="Q92" s="85"/>
      <c r="R92" s="85"/>
      <c r="S92" s="87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</row>
    <row r="93" spans="1:38" x14ac:dyDescent="0.3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6"/>
      <c r="O93" s="85"/>
      <c r="P93" s="86"/>
      <c r="Q93" s="85"/>
      <c r="R93" s="85"/>
      <c r="S93" s="87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</row>
    <row r="94" spans="1:38" x14ac:dyDescent="0.3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6"/>
      <c r="O94" s="85"/>
      <c r="P94" s="86"/>
      <c r="Q94" s="85"/>
      <c r="R94" s="85"/>
      <c r="S94" s="87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</row>
    <row r="95" spans="1:38" x14ac:dyDescent="0.3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6"/>
      <c r="O95" s="85"/>
      <c r="P95" s="86"/>
      <c r="Q95" s="85"/>
      <c r="R95" s="85"/>
      <c r="S95" s="87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</row>
    <row r="96" spans="1:38" x14ac:dyDescent="0.3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6"/>
      <c r="O96" s="85"/>
      <c r="P96" s="86"/>
      <c r="Q96" s="85"/>
      <c r="R96" s="85"/>
      <c r="S96" s="87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</row>
    <row r="97" spans="1:38" x14ac:dyDescent="0.3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6"/>
      <c r="O97" s="85"/>
      <c r="P97" s="86"/>
      <c r="Q97" s="85"/>
      <c r="R97" s="85"/>
      <c r="S97" s="87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</row>
    <row r="98" spans="1:38" x14ac:dyDescent="0.3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6"/>
      <c r="O98" s="85"/>
      <c r="P98" s="86"/>
      <c r="Q98" s="85"/>
      <c r="R98" s="85"/>
      <c r="S98" s="87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</row>
    <row r="99" spans="1:38" x14ac:dyDescent="0.3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6"/>
      <c r="O99" s="85"/>
      <c r="P99" s="86"/>
      <c r="Q99" s="85"/>
      <c r="R99" s="85"/>
      <c r="S99" s="87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</row>
    <row r="100" spans="1:38" x14ac:dyDescent="0.3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6"/>
      <c r="O100" s="85"/>
      <c r="P100" s="86"/>
      <c r="Q100" s="85"/>
      <c r="R100" s="85"/>
      <c r="S100" s="87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</row>
    <row r="101" spans="1:38" x14ac:dyDescent="0.3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6"/>
      <c r="O101" s="85"/>
      <c r="P101" s="86"/>
      <c r="Q101" s="85"/>
      <c r="R101" s="85"/>
      <c r="S101" s="87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</row>
    <row r="102" spans="1:38" x14ac:dyDescent="0.3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6"/>
      <c r="O102" s="85"/>
      <c r="P102" s="86"/>
      <c r="Q102" s="85"/>
      <c r="R102" s="85"/>
      <c r="S102" s="87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</row>
    <row r="103" spans="1:38" x14ac:dyDescent="0.3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6"/>
      <c r="O103" s="85"/>
      <c r="P103" s="86"/>
      <c r="Q103" s="85"/>
      <c r="R103" s="85"/>
      <c r="S103" s="87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</row>
    <row r="104" spans="1:38" x14ac:dyDescent="0.3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6"/>
      <c r="O104" s="85"/>
      <c r="P104" s="86"/>
      <c r="Q104" s="85"/>
      <c r="R104" s="85"/>
      <c r="S104" s="87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</row>
    <row r="105" spans="1:38" x14ac:dyDescent="0.3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6"/>
      <c r="O105" s="85"/>
      <c r="P105" s="86"/>
      <c r="Q105" s="85"/>
      <c r="R105" s="85"/>
      <c r="S105" s="87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</row>
    <row r="106" spans="1:38" x14ac:dyDescent="0.3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6"/>
      <c r="O106" s="85"/>
      <c r="P106" s="86"/>
      <c r="Q106" s="85"/>
      <c r="R106" s="85"/>
      <c r="S106" s="87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</row>
    <row r="107" spans="1:38" x14ac:dyDescent="0.3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6"/>
      <c r="O107" s="85"/>
      <c r="P107" s="86"/>
      <c r="Q107" s="85"/>
      <c r="R107" s="85"/>
      <c r="S107" s="87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</row>
    <row r="108" spans="1:38" x14ac:dyDescent="0.3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6"/>
      <c r="O108" s="85"/>
      <c r="P108" s="86"/>
      <c r="Q108" s="85"/>
      <c r="R108" s="85"/>
      <c r="S108" s="87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</row>
    <row r="109" spans="1:38" x14ac:dyDescent="0.3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6"/>
      <c r="O109" s="85"/>
      <c r="P109" s="86"/>
      <c r="Q109" s="85"/>
      <c r="R109" s="85"/>
      <c r="S109" s="87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</row>
    <row r="110" spans="1:38" x14ac:dyDescent="0.3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6"/>
      <c r="O110" s="85"/>
      <c r="P110" s="86"/>
      <c r="Q110" s="85"/>
      <c r="R110" s="85"/>
      <c r="S110" s="87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</row>
    <row r="111" spans="1:38" x14ac:dyDescent="0.3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6"/>
      <c r="O111" s="85"/>
      <c r="P111" s="86"/>
      <c r="Q111" s="85"/>
      <c r="R111" s="85"/>
      <c r="S111" s="87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</row>
    <row r="112" spans="1:38" x14ac:dyDescent="0.3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6"/>
      <c r="O112" s="85"/>
      <c r="P112" s="86"/>
      <c r="Q112" s="85"/>
      <c r="R112" s="85"/>
      <c r="S112" s="87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</row>
    <row r="113" spans="1:38" x14ac:dyDescent="0.3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6"/>
      <c r="O113" s="85"/>
      <c r="P113" s="86"/>
      <c r="Q113" s="85"/>
      <c r="R113" s="85"/>
      <c r="S113" s="87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</row>
    <row r="114" spans="1:38" x14ac:dyDescent="0.3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6"/>
      <c r="O114" s="85"/>
      <c r="P114" s="86"/>
      <c r="Q114" s="85"/>
      <c r="R114" s="85"/>
      <c r="S114" s="87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</row>
    <row r="115" spans="1:38" x14ac:dyDescent="0.3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6"/>
      <c r="O115" s="85"/>
      <c r="P115" s="86"/>
      <c r="Q115" s="85"/>
      <c r="R115" s="85"/>
      <c r="S115" s="87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</row>
    <row r="116" spans="1:38" x14ac:dyDescent="0.3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6"/>
      <c r="O116" s="85"/>
      <c r="P116" s="86"/>
      <c r="Q116" s="85"/>
      <c r="R116" s="85"/>
      <c r="S116" s="87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</row>
    <row r="117" spans="1:38" x14ac:dyDescent="0.3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6"/>
      <c r="O117" s="85"/>
      <c r="P117" s="86"/>
      <c r="Q117" s="85"/>
      <c r="R117" s="85"/>
      <c r="S117" s="87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</row>
    <row r="118" spans="1:38" x14ac:dyDescent="0.3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6"/>
      <c r="O118" s="85"/>
      <c r="P118" s="86"/>
      <c r="Q118" s="85"/>
      <c r="R118" s="85"/>
      <c r="S118" s="87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</row>
    <row r="119" spans="1:38" x14ac:dyDescent="0.3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6"/>
      <c r="O119" s="85"/>
      <c r="P119" s="86"/>
      <c r="Q119" s="85"/>
      <c r="R119" s="85"/>
      <c r="S119" s="87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</row>
    <row r="120" spans="1:38" x14ac:dyDescent="0.3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6"/>
      <c r="O120" s="85"/>
      <c r="P120" s="86"/>
      <c r="Q120" s="85"/>
      <c r="R120" s="85"/>
      <c r="S120" s="87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</row>
    <row r="121" spans="1:38" x14ac:dyDescent="0.3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6"/>
      <c r="O121" s="85"/>
      <c r="P121" s="86"/>
      <c r="Q121" s="85"/>
      <c r="R121" s="85"/>
      <c r="S121" s="87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</row>
    <row r="122" spans="1:38" x14ac:dyDescent="0.3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6"/>
      <c r="O122" s="85"/>
      <c r="P122" s="86"/>
      <c r="Q122" s="85"/>
      <c r="R122" s="85"/>
      <c r="S122" s="87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</row>
    <row r="123" spans="1:38" x14ac:dyDescent="0.3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6"/>
      <c r="O123" s="85"/>
      <c r="P123" s="86"/>
      <c r="Q123" s="85"/>
      <c r="R123" s="85"/>
      <c r="S123" s="87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</row>
    <row r="124" spans="1:38" x14ac:dyDescent="0.3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6"/>
      <c r="O124" s="85"/>
      <c r="P124" s="86"/>
      <c r="Q124" s="85"/>
      <c r="R124" s="85"/>
      <c r="S124" s="87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</row>
    <row r="125" spans="1:38" x14ac:dyDescent="0.3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6"/>
      <c r="O125" s="85"/>
      <c r="P125" s="86"/>
      <c r="Q125" s="85"/>
      <c r="R125" s="85"/>
      <c r="S125" s="87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</row>
    <row r="126" spans="1:38" x14ac:dyDescent="0.3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6"/>
      <c r="O126" s="85"/>
      <c r="P126" s="86"/>
      <c r="Q126" s="85"/>
      <c r="R126" s="85"/>
      <c r="S126" s="87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</row>
    <row r="127" spans="1:38" x14ac:dyDescent="0.3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6"/>
      <c r="O127" s="85"/>
      <c r="P127" s="86"/>
      <c r="Q127" s="85"/>
      <c r="R127" s="85"/>
      <c r="S127" s="87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</row>
    <row r="128" spans="1:38" x14ac:dyDescent="0.3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6"/>
      <c r="O128" s="85"/>
      <c r="P128" s="86"/>
      <c r="Q128" s="85"/>
      <c r="R128" s="85"/>
      <c r="S128" s="87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</row>
    <row r="129" spans="1:38" x14ac:dyDescent="0.3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6"/>
      <c r="O129" s="85"/>
      <c r="P129" s="86"/>
      <c r="Q129" s="85"/>
      <c r="R129" s="85"/>
      <c r="S129" s="87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</row>
    <row r="130" spans="1:38" x14ac:dyDescent="0.3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6"/>
      <c r="O130" s="85"/>
      <c r="P130" s="86"/>
      <c r="Q130" s="85"/>
      <c r="R130" s="85"/>
      <c r="S130" s="87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</row>
    <row r="131" spans="1:38" x14ac:dyDescent="0.3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6"/>
      <c r="O131" s="85"/>
      <c r="P131" s="86"/>
      <c r="Q131" s="85"/>
      <c r="R131" s="85"/>
      <c r="S131" s="87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</row>
    <row r="132" spans="1:38" x14ac:dyDescent="0.3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6"/>
      <c r="O132" s="85"/>
      <c r="P132" s="86"/>
      <c r="Q132" s="85"/>
      <c r="R132" s="85"/>
      <c r="S132" s="87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</row>
    <row r="133" spans="1:38" x14ac:dyDescent="0.3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6"/>
      <c r="O133" s="85"/>
      <c r="P133" s="86"/>
      <c r="Q133" s="85"/>
      <c r="R133" s="85"/>
      <c r="S133" s="87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</row>
    <row r="134" spans="1:38" x14ac:dyDescent="0.3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6"/>
      <c r="O134" s="85"/>
      <c r="P134" s="86"/>
      <c r="Q134" s="85"/>
      <c r="R134" s="85"/>
      <c r="S134" s="87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</row>
    <row r="135" spans="1:38" x14ac:dyDescent="0.3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6"/>
      <c r="O135" s="85"/>
      <c r="P135" s="86"/>
      <c r="Q135" s="85"/>
      <c r="R135" s="85"/>
      <c r="S135" s="87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</row>
    <row r="136" spans="1:38" x14ac:dyDescent="0.3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6"/>
      <c r="O136" s="85"/>
      <c r="P136" s="86"/>
      <c r="Q136" s="85"/>
      <c r="R136" s="85"/>
      <c r="S136" s="87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</row>
    <row r="137" spans="1:38" x14ac:dyDescent="0.3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6"/>
      <c r="O137" s="85"/>
      <c r="P137" s="86"/>
      <c r="Q137" s="85"/>
      <c r="R137" s="85"/>
      <c r="S137" s="87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</row>
    <row r="138" spans="1:38" x14ac:dyDescent="0.3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6"/>
      <c r="O138" s="85"/>
      <c r="P138" s="86"/>
      <c r="Q138" s="85"/>
      <c r="R138" s="85"/>
      <c r="S138" s="87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</row>
    <row r="139" spans="1:38" x14ac:dyDescent="0.3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6"/>
      <c r="O139" s="85"/>
      <c r="P139" s="86"/>
      <c r="Q139" s="85"/>
      <c r="R139" s="85"/>
      <c r="S139" s="87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</row>
    <row r="140" spans="1:38" x14ac:dyDescent="0.3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6"/>
      <c r="O140" s="85"/>
      <c r="P140" s="86"/>
      <c r="Q140" s="85"/>
      <c r="R140" s="85"/>
      <c r="S140" s="87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</row>
    <row r="141" spans="1:38" x14ac:dyDescent="0.3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6"/>
      <c r="O141" s="85"/>
      <c r="P141" s="86"/>
      <c r="Q141" s="85"/>
      <c r="R141" s="85"/>
      <c r="S141" s="87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</row>
    <row r="142" spans="1:38" x14ac:dyDescent="0.3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6"/>
      <c r="O142" s="85"/>
      <c r="P142" s="86"/>
      <c r="Q142" s="85"/>
      <c r="R142" s="85"/>
      <c r="S142" s="87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</row>
    <row r="143" spans="1:38" x14ac:dyDescent="0.3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6"/>
      <c r="O143" s="85"/>
      <c r="P143" s="86"/>
      <c r="Q143" s="85"/>
      <c r="R143" s="85"/>
      <c r="S143" s="87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</row>
    <row r="144" spans="1:38" x14ac:dyDescent="0.3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6"/>
      <c r="O144" s="85"/>
      <c r="P144" s="86"/>
      <c r="Q144" s="85"/>
      <c r="R144" s="85"/>
      <c r="S144" s="87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5"/>
      <c r="AI144" s="85"/>
      <c r="AJ144" s="85"/>
      <c r="AK144" s="85"/>
      <c r="AL144" s="85"/>
    </row>
    <row r="145" spans="1:38" x14ac:dyDescent="0.3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6"/>
      <c r="O145" s="85"/>
      <c r="P145" s="86"/>
      <c r="Q145" s="85"/>
      <c r="R145" s="85"/>
      <c r="S145" s="87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</row>
    <row r="146" spans="1:38" x14ac:dyDescent="0.3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6"/>
      <c r="O146" s="85"/>
      <c r="P146" s="86"/>
      <c r="Q146" s="85"/>
      <c r="R146" s="85"/>
      <c r="S146" s="87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85"/>
    </row>
    <row r="147" spans="1:38" x14ac:dyDescent="0.3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6"/>
      <c r="O147" s="85"/>
      <c r="P147" s="86"/>
      <c r="Q147" s="85"/>
      <c r="R147" s="85"/>
      <c r="S147" s="87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</row>
    <row r="148" spans="1:38" x14ac:dyDescent="0.3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6"/>
      <c r="O148" s="85"/>
      <c r="P148" s="86"/>
      <c r="Q148" s="85"/>
      <c r="R148" s="85"/>
      <c r="S148" s="87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  <c r="AI148" s="85"/>
      <c r="AJ148" s="85"/>
      <c r="AK148" s="85"/>
      <c r="AL148" s="85"/>
    </row>
    <row r="149" spans="1:38" x14ac:dyDescent="0.3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6"/>
      <c r="O149" s="85"/>
      <c r="P149" s="86"/>
      <c r="Q149" s="85"/>
      <c r="R149" s="85"/>
      <c r="S149" s="87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</row>
    <row r="150" spans="1:38" x14ac:dyDescent="0.3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6"/>
      <c r="O150" s="85"/>
      <c r="P150" s="86"/>
      <c r="Q150" s="85"/>
      <c r="R150" s="85"/>
      <c r="S150" s="87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</row>
    <row r="151" spans="1:38" x14ac:dyDescent="0.3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6"/>
      <c r="O151" s="85"/>
      <c r="P151" s="86"/>
      <c r="Q151" s="85"/>
      <c r="R151" s="85"/>
      <c r="S151" s="87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</row>
    <row r="152" spans="1:38" x14ac:dyDescent="0.3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6"/>
      <c r="O152" s="85"/>
      <c r="P152" s="86"/>
      <c r="Q152" s="85"/>
      <c r="R152" s="85"/>
      <c r="S152" s="87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</row>
    <row r="153" spans="1:38" x14ac:dyDescent="0.3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6"/>
      <c r="O153" s="85"/>
      <c r="P153" s="86"/>
      <c r="Q153" s="85"/>
      <c r="R153" s="85"/>
      <c r="S153" s="87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</row>
    <row r="154" spans="1:38" x14ac:dyDescent="0.3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6"/>
      <c r="O154" s="85"/>
      <c r="P154" s="86"/>
      <c r="Q154" s="85"/>
      <c r="R154" s="85"/>
      <c r="S154" s="87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</row>
    <row r="155" spans="1:38" x14ac:dyDescent="0.3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6"/>
      <c r="O155" s="85"/>
      <c r="P155" s="86"/>
      <c r="Q155" s="85"/>
      <c r="R155" s="85"/>
      <c r="S155" s="87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</row>
    <row r="156" spans="1:38" x14ac:dyDescent="0.3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6"/>
      <c r="O156" s="85"/>
      <c r="P156" s="86"/>
      <c r="Q156" s="85"/>
      <c r="R156" s="85"/>
      <c r="S156" s="87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</row>
    <row r="157" spans="1:38" x14ac:dyDescent="0.3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6"/>
      <c r="O157" s="85"/>
      <c r="P157" s="86"/>
      <c r="Q157" s="85"/>
      <c r="R157" s="85"/>
      <c r="S157" s="87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5"/>
      <c r="AJ157" s="85"/>
      <c r="AK157" s="85"/>
      <c r="AL157" s="85"/>
    </row>
    <row r="158" spans="1:38" x14ac:dyDescent="0.3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6"/>
      <c r="O158" s="85"/>
      <c r="P158" s="86"/>
      <c r="Q158" s="85"/>
      <c r="R158" s="85"/>
      <c r="S158" s="87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5"/>
      <c r="AJ158" s="85"/>
      <c r="AK158" s="85"/>
      <c r="AL158" s="85"/>
    </row>
    <row r="159" spans="1:38" x14ac:dyDescent="0.3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6"/>
      <c r="O159" s="85"/>
      <c r="P159" s="86"/>
      <c r="Q159" s="85"/>
      <c r="R159" s="85"/>
      <c r="S159" s="87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  <c r="AJ159" s="85"/>
      <c r="AK159" s="85"/>
      <c r="AL159" s="85"/>
    </row>
    <row r="160" spans="1:38" x14ac:dyDescent="0.3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6"/>
      <c r="O160" s="85"/>
      <c r="P160" s="86"/>
      <c r="Q160" s="85"/>
      <c r="R160" s="85"/>
      <c r="S160" s="87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</row>
    <row r="161" spans="1:38" x14ac:dyDescent="0.3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6"/>
      <c r="O161" s="85"/>
      <c r="P161" s="86"/>
      <c r="Q161" s="85"/>
      <c r="R161" s="85"/>
      <c r="S161" s="87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5"/>
      <c r="AI161" s="85"/>
      <c r="AJ161" s="85"/>
      <c r="AK161" s="85"/>
      <c r="AL161" s="85"/>
    </row>
    <row r="162" spans="1:38" x14ac:dyDescent="0.3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6"/>
      <c r="O162" s="85"/>
      <c r="P162" s="86"/>
      <c r="Q162" s="85"/>
      <c r="R162" s="85"/>
      <c r="S162" s="87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  <c r="AI162" s="85"/>
      <c r="AJ162" s="85"/>
      <c r="AK162" s="85"/>
      <c r="AL162" s="85"/>
    </row>
    <row r="163" spans="1:38" x14ac:dyDescent="0.3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6"/>
      <c r="O163" s="85"/>
      <c r="P163" s="86"/>
      <c r="Q163" s="85"/>
      <c r="R163" s="85"/>
      <c r="S163" s="87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</row>
    <row r="164" spans="1:38" x14ac:dyDescent="0.3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6"/>
      <c r="O164" s="85"/>
      <c r="P164" s="86"/>
      <c r="Q164" s="85"/>
      <c r="R164" s="85"/>
      <c r="S164" s="87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</row>
    <row r="165" spans="1:38" x14ac:dyDescent="0.3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6"/>
      <c r="O165" s="85"/>
      <c r="P165" s="86"/>
      <c r="Q165" s="85"/>
      <c r="R165" s="85"/>
      <c r="S165" s="87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</row>
    <row r="166" spans="1:38" x14ac:dyDescent="0.3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6"/>
      <c r="O166" s="85"/>
      <c r="P166" s="86"/>
      <c r="Q166" s="85"/>
      <c r="R166" s="85"/>
      <c r="S166" s="87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  <c r="AI166" s="85"/>
      <c r="AJ166" s="85"/>
      <c r="AK166" s="85"/>
      <c r="AL166" s="85"/>
    </row>
    <row r="167" spans="1:38" x14ac:dyDescent="0.3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6"/>
      <c r="O167" s="85"/>
      <c r="P167" s="86"/>
      <c r="Q167" s="85"/>
      <c r="R167" s="85"/>
      <c r="S167" s="87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</row>
    <row r="168" spans="1:38" x14ac:dyDescent="0.3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6"/>
      <c r="O168" s="85"/>
      <c r="P168" s="86"/>
      <c r="Q168" s="85"/>
      <c r="R168" s="85"/>
      <c r="S168" s="87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  <c r="AI168" s="85"/>
      <c r="AJ168" s="85"/>
      <c r="AK168" s="85"/>
      <c r="AL168" s="85"/>
    </row>
    <row r="169" spans="1:38" x14ac:dyDescent="0.3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6"/>
      <c r="O169" s="85"/>
      <c r="P169" s="86"/>
      <c r="Q169" s="85"/>
      <c r="R169" s="85"/>
      <c r="S169" s="87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</row>
    <row r="170" spans="1:38" x14ac:dyDescent="0.3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6"/>
      <c r="O170" s="85"/>
      <c r="P170" s="86"/>
      <c r="Q170" s="85"/>
      <c r="R170" s="85"/>
      <c r="S170" s="87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5"/>
      <c r="AI170" s="85"/>
      <c r="AJ170" s="85"/>
      <c r="AK170" s="85"/>
      <c r="AL170" s="85"/>
    </row>
    <row r="171" spans="1:38" x14ac:dyDescent="0.3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6"/>
      <c r="O171" s="85"/>
      <c r="P171" s="86"/>
      <c r="Q171" s="85"/>
      <c r="R171" s="85"/>
      <c r="S171" s="87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</row>
    <row r="172" spans="1:38" x14ac:dyDescent="0.3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6"/>
      <c r="O172" s="85"/>
      <c r="P172" s="86"/>
      <c r="Q172" s="85"/>
      <c r="R172" s="85"/>
      <c r="S172" s="87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</row>
    <row r="173" spans="1:38" x14ac:dyDescent="0.3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6"/>
      <c r="O173" s="85"/>
      <c r="P173" s="86"/>
      <c r="Q173" s="85"/>
      <c r="R173" s="85"/>
      <c r="S173" s="87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</row>
    <row r="174" spans="1:38" x14ac:dyDescent="0.3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6"/>
      <c r="O174" s="85"/>
      <c r="P174" s="86"/>
      <c r="Q174" s="85"/>
      <c r="R174" s="85"/>
      <c r="S174" s="87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</row>
    <row r="175" spans="1:38" x14ac:dyDescent="0.3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6"/>
      <c r="O175" s="85"/>
      <c r="P175" s="86"/>
      <c r="Q175" s="85"/>
      <c r="R175" s="85"/>
      <c r="S175" s="87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5"/>
      <c r="AJ175" s="85"/>
      <c r="AK175" s="85"/>
      <c r="AL175" s="85"/>
    </row>
    <row r="176" spans="1:38" x14ac:dyDescent="0.3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6"/>
      <c r="O176" s="85"/>
      <c r="P176" s="86"/>
      <c r="Q176" s="85"/>
      <c r="R176" s="85"/>
      <c r="S176" s="87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</row>
    <row r="177" spans="1:38" x14ac:dyDescent="0.3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6"/>
      <c r="O177" s="85"/>
      <c r="P177" s="86"/>
      <c r="Q177" s="85"/>
      <c r="R177" s="85"/>
      <c r="S177" s="87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</row>
    <row r="178" spans="1:38" x14ac:dyDescent="0.3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6"/>
      <c r="O178" s="85"/>
      <c r="P178" s="86"/>
      <c r="Q178" s="85"/>
      <c r="R178" s="85"/>
      <c r="S178" s="87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</row>
    <row r="179" spans="1:38" x14ac:dyDescent="0.3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6"/>
      <c r="O179" s="85"/>
      <c r="P179" s="86"/>
      <c r="Q179" s="85"/>
      <c r="R179" s="85"/>
      <c r="S179" s="87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5"/>
      <c r="AJ179" s="85"/>
      <c r="AK179" s="85"/>
      <c r="AL179" s="85"/>
    </row>
    <row r="180" spans="1:38" x14ac:dyDescent="0.3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6"/>
      <c r="O180" s="85"/>
      <c r="P180" s="86"/>
      <c r="Q180" s="85"/>
      <c r="R180" s="85"/>
      <c r="S180" s="87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</row>
    <row r="181" spans="1:38" x14ac:dyDescent="0.3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6"/>
      <c r="O181" s="85"/>
      <c r="P181" s="86"/>
      <c r="Q181" s="85"/>
      <c r="R181" s="85"/>
      <c r="S181" s="87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</row>
    <row r="182" spans="1:38" x14ac:dyDescent="0.3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6"/>
      <c r="O182" s="85"/>
      <c r="P182" s="86"/>
      <c r="Q182" s="85"/>
      <c r="R182" s="85"/>
      <c r="S182" s="87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</row>
    <row r="183" spans="1:38" x14ac:dyDescent="0.3">
      <c r="A183" s="85"/>
      <c r="J183" s="85"/>
      <c r="K183" s="85"/>
      <c r="L183" s="85"/>
      <c r="M183" s="85"/>
      <c r="N183" s="86"/>
      <c r="O183" s="85"/>
      <c r="P183" s="86"/>
      <c r="Q183" s="85"/>
      <c r="R183" s="85"/>
      <c r="S183" s="87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</row>
    <row r="184" spans="1:38" x14ac:dyDescent="0.3">
      <c r="A184" s="85"/>
      <c r="J184" s="85"/>
      <c r="K184" s="85"/>
      <c r="L184" s="85"/>
      <c r="M184" s="85"/>
      <c r="N184" s="86"/>
      <c r="O184" s="85"/>
      <c r="P184" s="86"/>
      <c r="Q184" s="85"/>
      <c r="R184" s="85"/>
      <c r="S184" s="87"/>
      <c r="T184" s="85"/>
      <c r="U184" s="85"/>
      <c r="V184" s="85"/>
    </row>
    <row r="185" spans="1:38" x14ac:dyDescent="0.3">
      <c r="A185" s="85"/>
      <c r="K185" s="85"/>
      <c r="L185" s="85"/>
      <c r="M185" s="85"/>
      <c r="N185" s="86"/>
      <c r="O185" s="85"/>
      <c r="P185" s="86"/>
      <c r="Q185" s="85"/>
      <c r="R185" s="85"/>
      <c r="S185" s="87"/>
      <c r="T185" s="85"/>
      <c r="U185" s="85"/>
    </row>
    <row r="186" spans="1:38" x14ac:dyDescent="0.3">
      <c r="K186" s="85"/>
      <c r="L186" s="85"/>
      <c r="M186" s="85"/>
      <c r="N186" s="86"/>
      <c r="O186" s="85"/>
      <c r="P186" s="86"/>
      <c r="Q186" s="85"/>
      <c r="R186" s="85"/>
      <c r="S186" s="87"/>
      <c r="T186" s="85"/>
      <c r="U186" s="85"/>
    </row>
    <row r="187" spans="1:38" x14ac:dyDescent="0.3">
      <c r="K187" s="85"/>
      <c r="L187" s="85"/>
      <c r="M187" s="85"/>
      <c r="N187" s="86"/>
      <c r="O187" s="85"/>
      <c r="P187" s="86"/>
      <c r="Q187" s="85"/>
      <c r="R187" s="85"/>
      <c r="S187" s="87"/>
      <c r="T187" s="85"/>
      <c r="U187" s="85"/>
    </row>
    <row r="188" spans="1:38" x14ac:dyDescent="0.3">
      <c r="K188" s="85"/>
      <c r="L188" s="85"/>
      <c r="M188" s="85"/>
      <c r="N188" s="86"/>
      <c r="O188" s="85"/>
      <c r="P188" s="86"/>
      <c r="Q188" s="85"/>
      <c r="R188" s="85"/>
      <c r="S188" s="87"/>
      <c r="T188" s="85"/>
      <c r="U188" s="85"/>
    </row>
    <row r="189" spans="1:38" x14ac:dyDescent="0.3">
      <c r="K189" s="85"/>
      <c r="L189" s="85"/>
      <c r="M189" s="85"/>
      <c r="N189" s="86"/>
      <c r="O189" s="85"/>
      <c r="P189" s="86"/>
      <c r="Q189" s="85"/>
      <c r="R189" s="85"/>
      <c r="S189" s="87"/>
      <c r="T189" s="85"/>
      <c r="U189" s="85"/>
    </row>
  </sheetData>
  <mergeCells count="4">
    <mergeCell ref="L33:T36"/>
    <mergeCell ref="B34:H34"/>
    <mergeCell ref="D8:D14"/>
    <mergeCell ref="N20:R20"/>
  </mergeCells>
  <pageMargins left="0.7" right="0.7" top="0.75" bottom="0.75" header="0.3" footer="0.3"/>
  <pageSetup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'Other Supporting Data'!$V$3:$V$27</xm:f>
          </x14:formula1>
          <xm:sqref>E36 G10</xm:sqref>
        </x14:dataValidation>
        <x14:dataValidation type="list" allowBlank="1" showInputMessage="1" showErrorMessage="1">
          <x14:formula1>
            <xm:f>'Other Supporting Data'!$Y$3:$Y$28</xm:f>
          </x14:formula1>
          <xm:sqref>N25:N26 N29</xm:sqref>
        </x14:dataValidation>
        <x14:dataValidation type="list" allowBlank="1" showInputMessage="1" showErrorMessage="1">
          <x14:formula1>
            <xm:f>'Other Supporting Data'!$AB$3:$AB$12</xm:f>
          </x14:formula1>
          <xm:sqref>G14 S20</xm:sqref>
        </x14:dataValidation>
        <x14:dataValidation type="list" allowBlank="1" showInputMessage="1" showErrorMessage="1">
          <x14:formula1>
            <xm:f>'Other Supporting Data'!$AE$3:$AE$35</xm:f>
          </x14:formula1>
          <xm:sqref>G12</xm:sqref>
        </x14:dataValidation>
        <x14:dataValidation type="list" allowBlank="1" showInputMessage="1" showErrorMessage="1">
          <x14:formula1>
            <xm:f>'Other Supporting Data'!$AH$3:$AH$4</xm:f>
          </x14:formula1>
          <xm:sqref>F40</xm:sqref>
        </x14:dataValidation>
        <x14:dataValidation type="list" allowBlank="1" showInputMessage="1" showErrorMessage="1">
          <x14:formula1>
            <xm:f>'Other Supporting Data'!$V$19:$V$28</xm:f>
          </x14:formula1>
          <xm:sqref>N22</xm:sqref>
        </x14:dataValidation>
        <x14:dataValidation type="list" allowBlank="1" showInputMessage="1" showErrorMessage="1">
          <x14:formula1>
            <xm:f>'Other Supporting Data'!$V$3:$V$28</xm:f>
          </x14:formula1>
          <xm:sqref>N28</xm:sqref>
        </x14:dataValidation>
        <x14:dataValidation type="list" allowBlank="1" showInputMessage="1" showErrorMessage="1">
          <x14:formula1>
            <xm:f>'Other Supporting Data'!$V$29:$V$30</xm:f>
          </x14:formula1>
          <xm:sqref>N23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31"/>
  <sheetViews>
    <sheetView topLeftCell="B70" workbookViewId="0">
      <selection activeCell="T86" sqref="T86"/>
    </sheetView>
  </sheetViews>
  <sheetFormatPr defaultRowHeight="14.4" x14ac:dyDescent="0.3"/>
  <sheetData>
    <row r="2" spans="2:2" x14ac:dyDescent="0.3">
      <c r="B2" t="s">
        <v>17</v>
      </c>
    </row>
    <row r="31" spans="3:3" x14ac:dyDescent="0.3">
      <c r="C31" t="s">
        <v>18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6"/>
  <sheetViews>
    <sheetView workbookViewId="0">
      <selection activeCell="D3" sqref="D3"/>
    </sheetView>
  </sheetViews>
  <sheetFormatPr defaultRowHeight="14.4" x14ac:dyDescent="0.3"/>
  <cols>
    <col min="1" max="1" width="4.6640625" customWidth="1"/>
    <col min="2" max="2" width="18.6640625" customWidth="1"/>
    <col min="3" max="3" width="21.33203125" customWidth="1"/>
    <col min="4" max="4" width="12" customWidth="1"/>
    <col min="5" max="5" width="10.88671875" customWidth="1"/>
  </cols>
  <sheetData>
    <row r="1" spans="2:5" ht="15" thickBot="1" x14ac:dyDescent="0.35"/>
    <row r="2" spans="2:5" x14ac:dyDescent="0.3">
      <c r="B2" s="1" t="s">
        <v>1</v>
      </c>
      <c r="C2" s="2" t="s">
        <v>22</v>
      </c>
      <c r="D2" s="2" t="s">
        <v>23</v>
      </c>
      <c r="E2" s="3" t="s">
        <v>2</v>
      </c>
    </row>
    <row r="3" spans="2:5" x14ac:dyDescent="0.3">
      <c r="B3" s="4" t="s">
        <v>3</v>
      </c>
      <c r="C3" s="5">
        <v>158974</v>
      </c>
      <c r="D3" s="14">
        <f>0.045+0.036</f>
        <v>8.0999999999999989E-2</v>
      </c>
      <c r="E3" s="18">
        <f>C3/C7</f>
        <v>8.0784890043437876E-2</v>
      </c>
    </row>
    <row r="4" spans="2:5" x14ac:dyDescent="0.3">
      <c r="B4" s="4" t="s">
        <v>5</v>
      </c>
      <c r="C4" s="5">
        <v>381419</v>
      </c>
      <c r="D4" s="14">
        <v>0.1326</v>
      </c>
      <c r="E4" s="18">
        <f>C4/C7</f>
        <v>0.19382346783422466</v>
      </c>
    </row>
    <row r="5" spans="2:5" x14ac:dyDescent="0.3">
      <c r="B5" s="4" t="s">
        <v>7</v>
      </c>
      <c r="C5" s="5">
        <v>1100000</v>
      </c>
      <c r="D5" s="14">
        <v>0.1133</v>
      </c>
      <c r="E5" s="18">
        <f>C5/C7</f>
        <v>0.55898058203090861</v>
      </c>
    </row>
    <row r="6" spans="2:5" x14ac:dyDescent="0.3">
      <c r="B6" s="4" t="s">
        <v>8</v>
      </c>
      <c r="C6" s="5">
        <v>327475</v>
      </c>
      <c r="D6" s="14">
        <v>0.104</v>
      </c>
      <c r="E6" s="18">
        <f>C6/C7</f>
        <v>0.16641106009142889</v>
      </c>
    </row>
    <row r="7" spans="2:5" ht="15" thickBot="1" x14ac:dyDescent="0.35">
      <c r="B7" s="6" t="s">
        <v>9</v>
      </c>
      <c r="C7" s="7">
        <f>SUM(C3:C6)</f>
        <v>1967868</v>
      </c>
      <c r="D7" s="8" t="s">
        <v>4</v>
      </c>
      <c r="E7" s="9"/>
    </row>
    <row r="8" spans="2:5" x14ac:dyDescent="0.3">
      <c r="B8" s="17" t="s">
        <v>37</v>
      </c>
    </row>
    <row r="36" spans="13:13" x14ac:dyDescent="0.3">
      <c r="M36" t="s">
        <v>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H35"/>
  <sheetViews>
    <sheetView workbookViewId="0">
      <selection activeCell="V30" sqref="V30"/>
    </sheetView>
  </sheetViews>
  <sheetFormatPr defaultRowHeight="14.4" x14ac:dyDescent="0.3"/>
  <cols>
    <col min="2" max="2" width="11.33203125" customWidth="1"/>
  </cols>
  <sheetData>
    <row r="2" spans="2:34" x14ac:dyDescent="0.3">
      <c r="B2" t="s">
        <v>24</v>
      </c>
      <c r="V2" t="s">
        <v>46</v>
      </c>
      <c r="Y2" t="s">
        <v>47</v>
      </c>
      <c r="AB2" t="s">
        <v>59</v>
      </c>
      <c r="AE2" t="s">
        <v>60</v>
      </c>
      <c r="AH2" t="s">
        <v>62</v>
      </c>
    </row>
    <row r="3" spans="2:34" x14ac:dyDescent="0.3">
      <c r="V3">
        <v>0.7</v>
      </c>
      <c r="Y3">
        <v>8.5</v>
      </c>
      <c r="AB3" s="122">
        <v>0</v>
      </c>
      <c r="AE3" s="123">
        <v>3.4119999999999999</v>
      </c>
      <c r="AH3" s="46" t="s">
        <v>63</v>
      </c>
    </row>
    <row r="4" spans="2:34" x14ac:dyDescent="0.3">
      <c r="V4">
        <v>0.76</v>
      </c>
      <c r="Y4">
        <v>8.6</v>
      </c>
      <c r="AB4" s="122">
        <v>0.1</v>
      </c>
      <c r="AE4" s="123">
        <v>7.7</v>
      </c>
      <c r="AH4" s="28" t="s">
        <v>64</v>
      </c>
    </row>
    <row r="5" spans="2:34" x14ac:dyDescent="0.3">
      <c r="V5">
        <v>0.77</v>
      </c>
      <c r="Y5">
        <v>8.6999999999999993</v>
      </c>
      <c r="AB5" s="122">
        <v>0.2</v>
      </c>
      <c r="AE5" s="123">
        <v>8</v>
      </c>
    </row>
    <row r="6" spans="2:34" x14ac:dyDescent="0.3">
      <c r="V6">
        <v>0.78</v>
      </c>
      <c r="Y6">
        <v>8.8000000000000007</v>
      </c>
      <c r="AB6" s="122">
        <v>0.3</v>
      </c>
      <c r="AE6" s="123">
        <v>8.1</v>
      </c>
    </row>
    <row r="7" spans="2:34" x14ac:dyDescent="0.3">
      <c r="V7">
        <v>0.79</v>
      </c>
      <c r="Y7">
        <v>8.9</v>
      </c>
      <c r="AB7" s="122">
        <v>0.4</v>
      </c>
      <c r="AE7" s="123">
        <v>8.1999999999999993</v>
      </c>
    </row>
    <row r="8" spans="2:34" x14ac:dyDescent="0.3">
      <c r="V8">
        <v>0.8</v>
      </c>
      <c r="Y8">
        <v>9</v>
      </c>
      <c r="AB8" s="122">
        <v>0.5</v>
      </c>
      <c r="AE8" s="123">
        <v>8.3000000000000007</v>
      </c>
    </row>
    <row r="9" spans="2:34" x14ac:dyDescent="0.3">
      <c r="V9">
        <v>0.81</v>
      </c>
      <c r="Y9">
        <v>9.1</v>
      </c>
      <c r="AB9" s="122">
        <v>0.6</v>
      </c>
      <c r="AE9" s="123">
        <v>8.4</v>
      </c>
    </row>
    <row r="10" spans="2:34" x14ac:dyDescent="0.3">
      <c r="V10">
        <v>0.82</v>
      </c>
      <c r="Y10">
        <v>9.1999999999999993</v>
      </c>
      <c r="AB10" s="122">
        <v>0.7</v>
      </c>
      <c r="AE10" s="123">
        <v>8.5</v>
      </c>
    </row>
    <row r="11" spans="2:34" x14ac:dyDescent="0.3">
      <c r="V11">
        <v>0.83</v>
      </c>
      <c r="Y11">
        <v>9.3000000000000007</v>
      </c>
      <c r="AB11" s="122">
        <v>0.8</v>
      </c>
      <c r="AE11" s="123">
        <v>8.6</v>
      </c>
    </row>
    <row r="12" spans="2:34" x14ac:dyDescent="0.3">
      <c r="V12">
        <v>0.84</v>
      </c>
      <c r="Y12">
        <v>9.4</v>
      </c>
      <c r="AB12" s="122">
        <v>0.9</v>
      </c>
      <c r="AE12" s="123">
        <v>8.6999999999999993</v>
      </c>
    </row>
    <row r="13" spans="2:34" x14ac:dyDescent="0.3">
      <c r="V13">
        <v>0.85</v>
      </c>
      <c r="Y13">
        <v>9.5</v>
      </c>
      <c r="AE13" s="123">
        <v>8.8000000000000007</v>
      </c>
    </row>
    <row r="14" spans="2:34" x14ac:dyDescent="0.3">
      <c r="V14">
        <v>0.86</v>
      </c>
      <c r="Y14">
        <v>9.6</v>
      </c>
      <c r="AE14" s="123">
        <v>8.9</v>
      </c>
    </row>
    <row r="15" spans="2:34" x14ac:dyDescent="0.3">
      <c r="V15">
        <v>0.87</v>
      </c>
      <c r="Y15">
        <v>9.6999999999999993</v>
      </c>
      <c r="AE15" s="123">
        <v>9</v>
      </c>
    </row>
    <row r="16" spans="2:34" x14ac:dyDescent="0.3">
      <c r="V16">
        <v>0.88</v>
      </c>
      <c r="Y16">
        <v>9.8000000000000007</v>
      </c>
      <c r="AE16" s="123">
        <v>9.1</v>
      </c>
    </row>
    <row r="17" spans="22:31" x14ac:dyDescent="0.3">
      <c r="V17">
        <v>0.88500000000000001</v>
      </c>
      <c r="Y17">
        <v>9.9</v>
      </c>
      <c r="AE17" s="123">
        <v>9.1999999999999993</v>
      </c>
    </row>
    <row r="18" spans="22:31" x14ac:dyDescent="0.3">
      <c r="V18">
        <v>0.89</v>
      </c>
      <c r="Y18">
        <v>10</v>
      </c>
      <c r="AE18" s="123">
        <v>9.3000000000000007</v>
      </c>
    </row>
    <row r="19" spans="22:31" x14ac:dyDescent="0.3">
      <c r="V19">
        <v>0.9</v>
      </c>
      <c r="Y19">
        <v>10.199999999999999</v>
      </c>
      <c r="AE19" s="123">
        <v>9.4</v>
      </c>
    </row>
    <row r="20" spans="22:31" x14ac:dyDescent="0.3">
      <c r="V20">
        <v>0.91</v>
      </c>
      <c r="Y20">
        <v>10.4</v>
      </c>
      <c r="AE20" s="123">
        <v>9.5</v>
      </c>
    </row>
    <row r="21" spans="22:31" x14ac:dyDescent="0.3">
      <c r="V21">
        <v>0.92</v>
      </c>
      <c r="Y21">
        <v>10.6</v>
      </c>
      <c r="AE21" s="123">
        <v>9.6</v>
      </c>
    </row>
    <row r="22" spans="22:31" x14ac:dyDescent="0.3">
      <c r="V22">
        <v>0.93</v>
      </c>
      <c r="Y22">
        <v>10.8</v>
      </c>
      <c r="AE22" s="123">
        <v>9.6999999999999993</v>
      </c>
    </row>
    <row r="23" spans="22:31" x14ac:dyDescent="0.3">
      <c r="V23">
        <v>0.94</v>
      </c>
      <c r="Y23">
        <v>11</v>
      </c>
      <c r="AE23" s="123">
        <v>9.8000000000000007</v>
      </c>
    </row>
    <row r="24" spans="22:31" x14ac:dyDescent="0.3">
      <c r="V24">
        <v>0.95</v>
      </c>
      <c r="Y24">
        <v>11.2</v>
      </c>
      <c r="AE24" s="123">
        <v>9.9</v>
      </c>
    </row>
    <row r="25" spans="22:31" x14ac:dyDescent="0.3">
      <c r="V25">
        <v>0.96</v>
      </c>
      <c r="Y25">
        <v>11.4</v>
      </c>
      <c r="AE25" s="123">
        <v>10</v>
      </c>
    </row>
    <row r="26" spans="22:31" x14ac:dyDescent="0.3">
      <c r="V26">
        <v>0.97</v>
      </c>
      <c r="Y26">
        <v>11.6</v>
      </c>
      <c r="AE26" s="123">
        <v>10.199999999999999</v>
      </c>
    </row>
    <row r="27" spans="22:31" x14ac:dyDescent="0.3">
      <c r="V27">
        <v>0.98</v>
      </c>
      <c r="Y27">
        <v>11.8</v>
      </c>
      <c r="AE27" s="123">
        <v>10.4</v>
      </c>
    </row>
    <row r="28" spans="22:31" x14ac:dyDescent="0.3">
      <c r="V28">
        <v>0.99</v>
      </c>
      <c r="Y28">
        <v>13</v>
      </c>
      <c r="AE28" s="123">
        <v>10.6</v>
      </c>
    </row>
    <row r="29" spans="22:31" x14ac:dyDescent="0.3">
      <c r="V29">
        <v>1.4</v>
      </c>
      <c r="AE29" s="123">
        <v>10.8</v>
      </c>
    </row>
    <row r="30" spans="22:31" x14ac:dyDescent="0.3">
      <c r="V30">
        <v>1.5</v>
      </c>
      <c r="AE30" s="123">
        <v>11</v>
      </c>
    </row>
    <row r="31" spans="22:31" x14ac:dyDescent="0.3">
      <c r="AE31" s="123">
        <v>11.2</v>
      </c>
    </row>
    <row r="32" spans="22:31" x14ac:dyDescent="0.3">
      <c r="AE32" s="123">
        <v>11.4</v>
      </c>
    </row>
    <row r="33" spans="31:31" x14ac:dyDescent="0.3">
      <c r="AE33" s="123">
        <v>11.6</v>
      </c>
    </row>
    <row r="34" spans="31:31" x14ac:dyDescent="0.3">
      <c r="AE34" s="123">
        <v>11.8</v>
      </c>
    </row>
    <row r="35" spans="31:31" ht="15" thickBot="1" x14ac:dyDescent="0.35">
      <c r="AE35" s="124">
        <v>13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Calculator </vt:lpstr>
      <vt:lpstr>Supporting Data Gas Energy Usag</vt:lpstr>
      <vt:lpstr>Supporting Data Rates</vt:lpstr>
      <vt:lpstr>Other Supporting Data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rhuste</dc:creator>
  <cp:lastModifiedBy>Jesse Durst</cp:lastModifiedBy>
  <dcterms:created xsi:type="dcterms:W3CDTF">2021-07-16T20:28:23Z</dcterms:created>
  <dcterms:modified xsi:type="dcterms:W3CDTF">2022-11-04T21:56:15Z</dcterms:modified>
</cp:coreProperties>
</file>